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AF9nOnC4ZmAbogUHbGFYMQfegOm1bWoPsP+5oDwBpyt+7SrbHJUgJL0yRm0UsRyS6Kwci3DOqbjbncTiUVkAYQ==" workbookSaltValue="Vx06DM1Ifac+lriZr48sO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Y20" i="20"/>
  <c r="AW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8" i="19"/>
  <c r="X19" i="8"/>
  <c r="BE11" i="13"/>
  <c r="BD11" i="13"/>
  <c r="BC18" i="13"/>
  <c r="BF17" i="8"/>
  <c r="BC13" i="13"/>
  <c r="BK19" i="13"/>
  <c r="BE9" i="13"/>
  <c r="ER19" i="8"/>
  <c r="EL19" i="8"/>
  <c r="EQ19" i="8"/>
  <c r="ES19" i="8"/>
  <c r="AC19" i="8"/>
  <c r="BH19" i="13"/>
  <c r="R19" i="8"/>
  <c r="EP19" i="8"/>
  <c r="EP19" i="19"/>
  <c r="AT17" i="20"/>
  <c r="AL9" i="11"/>
  <c r="K18" i="2"/>
  <c r="F9" i="2"/>
  <c r="N13" i="2"/>
  <c r="H13" i="12"/>
  <c r="T13" i="12"/>
  <c r="T13" i="16"/>
  <c r="T13" i="20"/>
  <c r="AY18" i="8"/>
  <c r="BB13" i="13"/>
  <c r="BD12" i="8"/>
  <c r="J18" i="17"/>
  <c r="BG15" i="13"/>
  <c r="BA18" i="13"/>
  <c r="BE15" i="13"/>
  <c r="AO20" i="20"/>
  <c r="AN20" i="20"/>
  <c r="Y20" i="20"/>
  <c r="U10" i="11"/>
  <c r="AH20" i="20"/>
  <c r="AL20" i="20"/>
  <c r="AB20" i="20"/>
  <c r="AJ19" i="8" l="1"/>
  <c r="T19" i="8"/>
  <c r="AC10" i="11"/>
  <c r="D10" i="6"/>
  <c r="AL12" i="11"/>
  <c r="B10" i="6"/>
  <c r="H12" i="7"/>
  <c r="C10" i="6"/>
  <c r="I10" i="12" s="1"/>
  <c r="C17" i="6"/>
  <c r="R8" i="9"/>
  <c r="BG16" i="13"/>
  <c r="BD16" i="13"/>
  <c r="BE16" i="13"/>
  <c r="BG15" i="8"/>
  <c r="K15" i="7" s="1"/>
  <c r="BD16" i="8"/>
  <c r="AO17" i="11"/>
  <c r="L16" i="14"/>
  <c r="L17" i="14"/>
  <c r="AZ18" i="13"/>
  <c r="F15" i="17"/>
  <c r="AQ15" i="17" s="1"/>
  <c r="BF9" i="8"/>
  <c r="E12" i="6"/>
  <c r="AO12" i="11"/>
  <c r="H12" i="2"/>
  <c r="AY13" i="8"/>
  <c r="L9" i="14"/>
  <c r="L12" i="14"/>
  <c r="AY13" i="13"/>
  <c r="BA13" i="13"/>
  <c r="X12" i="21"/>
  <c r="V15" i="11"/>
  <c r="Q17" i="20"/>
  <c r="Q18" i="20" s="1"/>
  <c r="S17" i="16"/>
  <c r="AP10" i="21"/>
  <c r="BJ15" i="11"/>
  <c r="R17" i="20"/>
  <c r="R18" i="20" s="1"/>
  <c r="BU15" i="17"/>
  <c r="BW16" i="20"/>
  <c r="BV10" i="16"/>
  <c r="AZ16" i="11"/>
  <c r="BF12" i="11"/>
  <c r="Q15" i="17"/>
  <c r="BH12" i="16"/>
  <c r="V10" i="16"/>
  <c r="BH11" i="16"/>
  <c r="P17" i="17"/>
  <c r="BK9" i="11"/>
  <c r="Q10" i="21"/>
  <c r="BI17" i="11"/>
  <c r="BM15" i="11"/>
  <c r="BV17" i="16"/>
  <c r="BG16" i="11"/>
  <c r="BG12" i="11"/>
  <c r="BV12" i="16"/>
  <c r="R12" i="14"/>
  <c r="T15" i="11"/>
  <c r="X15" i="17"/>
  <c r="X17" i="20"/>
  <c r="X16" i="20"/>
  <c r="X9" i="16"/>
  <c r="X19" i="16" s="1"/>
  <c r="S16" i="14"/>
  <c r="V16" i="14" s="1"/>
  <c r="T11" i="11"/>
  <c r="X12" i="17"/>
  <c r="AA11" i="16"/>
  <c r="S11" i="17"/>
  <c r="AZ17" i="11"/>
  <c r="X12" i="16"/>
  <c r="BG10" i="8"/>
  <c r="K10" i="7" s="1"/>
  <c r="BA13" i="8"/>
  <c r="H9" i="2"/>
  <c r="BE11" i="8"/>
  <c r="BG12" i="8"/>
  <c r="K12" i="7" s="1"/>
  <c r="BF15" i="8"/>
  <c r="BG9" i="8"/>
  <c r="R18" i="11"/>
  <c r="N9" i="11"/>
  <c r="AA19" i="8"/>
  <c r="AE13" i="17"/>
  <c r="AH13" i="16"/>
  <c r="AJ13" i="16"/>
  <c r="AP11" i="11"/>
  <c r="F9" i="11"/>
  <c r="AC12" i="11"/>
  <c r="J9" i="7"/>
  <c r="I18" i="2"/>
  <c r="E11" i="6"/>
  <c r="I13" i="2"/>
  <c r="C9" i="6"/>
  <c r="F17" i="2"/>
  <c r="J15" i="2"/>
  <c r="BE9" i="8"/>
  <c r="BD15" i="8"/>
  <c r="H15" i="7" s="1"/>
  <c r="D17" i="2"/>
  <c r="L19" i="8"/>
  <c r="J12" i="2"/>
  <c r="E18" i="12"/>
  <c r="B18" i="2"/>
  <c r="J18" i="2" s="1"/>
  <c r="G17" i="3"/>
  <c r="I10" i="3"/>
  <c r="D13" i="5"/>
  <c r="BF11" i="8"/>
  <c r="BE12" i="8"/>
  <c r="BE15" i="8"/>
  <c r="AO15" i="17"/>
  <c r="C16" i="6"/>
  <c r="U19" i="8"/>
  <c r="Y19" i="8"/>
  <c r="AI19" i="8"/>
  <c r="BK19" i="8"/>
  <c r="B11" i="6"/>
  <c r="C12" i="14"/>
  <c r="K12" i="14" s="1"/>
  <c r="K18" i="11"/>
  <c r="E9" i="6"/>
  <c r="I9" i="7"/>
  <c r="H9" i="7"/>
  <c r="K9" i="7"/>
  <c r="AO10" i="17"/>
  <c r="AO11" i="11"/>
  <c r="AL11" i="11"/>
  <c r="AO15" i="11"/>
  <c r="H16" i="7"/>
  <c r="AN17" i="11"/>
  <c r="D15" i="6"/>
  <c r="AN11" i="11"/>
  <c r="M18" i="2"/>
  <c r="N18" i="2"/>
  <c r="BB19" i="19"/>
  <c r="CJ19" i="19"/>
  <c r="Y19" i="19"/>
  <c r="AG19" i="19"/>
  <c r="W13" i="17"/>
  <c r="BD17" i="13"/>
  <c r="BE17" i="13"/>
  <c r="BF9" i="13"/>
  <c r="BE10" i="13"/>
  <c r="BG9" i="13"/>
  <c r="ER19" i="13"/>
  <c r="T10" i="2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D19" i="19"/>
  <c r="BF18" i="19"/>
  <c r="AQ13" i="21"/>
  <c r="AQ19" i="19"/>
  <c r="AR13" i="20"/>
  <c r="F16" i="17"/>
  <c r="Z13" i="17"/>
  <c r="BE13" i="13"/>
  <c r="AN19" i="13"/>
  <c r="AB19" i="13"/>
  <c r="V19" i="13"/>
  <c r="AQ19" i="13"/>
  <c r="S19" i="13"/>
  <c r="Q19" i="13"/>
  <c r="AZ13" i="13"/>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C11" i="6"/>
  <c r="L11" i="14"/>
  <c r="AL17" i="11"/>
  <c r="B17" i="6"/>
  <c r="D17" i="6"/>
  <c r="J17" i="12" s="1"/>
  <c r="I12" i="7"/>
  <c r="J9" i="2"/>
  <c r="AN12" i="11"/>
  <c r="M19" i="21"/>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AU20" i="20"/>
  <c r="AF20" i="20"/>
  <c r="F20" i="20"/>
  <c r="AK20" i="20"/>
  <c r="W20" i="21"/>
  <c r="AV20" i="20"/>
  <c r="AQ20" i="21"/>
  <c r="K20" i="20"/>
  <c r="AD20" i="20"/>
  <c r="AJ20" i="20"/>
  <c r="J20" i="20"/>
  <c r="O16" i="11"/>
  <c r="AG20" i="20"/>
  <c r="U12" i="11"/>
  <c r="S20" i="20"/>
  <c r="Z20" i="20"/>
  <c r="U16" i="11"/>
  <c r="G18" i="14"/>
  <c r="AE20" i="20"/>
  <c r="X20" i="20"/>
  <c r="R20" i="20"/>
  <c r="O20" i="20"/>
  <c r="Q20" i="20"/>
  <c r="AI20" i="20"/>
  <c r="H20" i="20"/>
  <c r="M20" i="20"/>
  <c r="AQ20" i="20"/>
  <c r="E20" i="20"/>
  <c r="P20" i="20"/>
  <c r="AP20" i="20"/>
  <c r="T20" i="20"/>
  <c r="AZ20" i="20"/>
  <c r="AC20" i="20"/>
  <c r="AM20" i="20"/>
  <c r="W20" i="20"/>
  <c r="I20" i="20"/>
  <c r="N20" i="20"/>
  <c r="AA20" i="20"/>
  <c r="G13" i="14"/>
  <c r="T20" i="21"/>
  <c r="F13" i="2" l="1"/>
  <c r="BG13" i="13"/>
  <c r="BU10" i="17"/>
  <c r="BW11" i="20"/>
  <c r="BU12" i="17"/>
  <c r="AZ12" i="11"/>
  <c r="BI9" i="11"/>
  <c r="BH11" i="11"/>
  <c r="BJ16" i="11"/>
  <c r="BJ18" i="11" s="1"/>
  <c r="L16" i="2"/>
  <c r="BW12" i="20"/>
  <c r="Q17" i="17"/>
  <c r="BH16" i="11"/>
  <c r="L9" i="2"/>
  <c r="BG10" i="11"/>
  <c r="BW10" i="20"/>
  <c r="BJ10" i="11"/>
  <c r="T17" i="11"/>
  <c r="BH9" i="16"/>
  <c r="BJ17" i="11"/>
  <c r="BH15" i="16"/>
  <c r="V11" i="16"/>
  <c r="BF16" i="11"/>
  <c r="BL12" i="11"/>
  <c r="BK11" i="11"/>
  <c r="BM12" i="11"/>
  <c r="BI15" i="11"/>
  <c r="BJ12" i="11"/>
  <c r="BG15" i="11"/>
  <c r="BK17" i="11"/>
  <c r="AP17" i="20"/>
  <c r="BW9" i="20"/>
  <c r="BV16" i="16"/>
  <c r="BV15" i="16"/>
  <c r="BV18" i="16" s="1"/>
  <c r="BU9" i="17"/>
  <c r="BU17" i="17"/>
  <c r="BV9" i="16"/>
  <c r="T16" i="11"/>
  <c r="P15" i="17"/>
  <c r="P18" i="17" s="1"/>
  <c r="P19" i="17" s="1"/>
  <c r="BL15" i="11"/>
  <c r="BH10" i="16"/>
  <c r="BM17" i="11"/>
  <c r="BM9" i="11"/>
  <c r="BK10" i="11"/>
  <c r="L17" i="2"/>
  <c r="V9" i="16"/>
  <c r="BF11" i="11"/>
  <c r="BL9" i="11"/>
  <c r="Q9" i="11" s="1"/>
  <c r="BM16" i="11"/>
  <c r="BL17" i="11"/>
  <c r="BF10" i="11"/>
  <c r="BK15" i="11"/>
  <c r="BK18" i="11" s="1"/>
  <c r="BI10" i="11"/>
  <c r="V9" i="11"/>
  <c r="R10" i="21"/>
  <c r="BG9" i="11"/>
  <c r="BH17" i="11"/>
  <c r="T17" i="16"/>
  <c r="T18" i="16" s="1"/>
  <c r="T19" i="16" s="1"/>
  <c r="BU11" i="17"/>
  <c r="U9" i="17"/>
  <c r="U19" i="17" s="1"/>
  <c r="AQ12" i="21"/>
  <c r="BK16" i="11"/>
  <c r="BH10" i="11"/>
  <c r="V12" i="16"/>
  <c r="BV11" i="16"/>
  <c r="S10" i="14"/>
  <c r="V10" i="14" s="1"/>
  <c r="R10" i="14"/>
  <c r="R16" i="14"/>
  <c r="S15" i="14"/>
  <c r="V15" i="14" s="1"/>
  <c r="X16" i="17"/>
  <c r="AA15" i="16"/>
  <c r="X9" i="17"/>
  <c r="T17" i="20"/>
  <c r="U10" i="21"/>
  <c r="AA12" i="21"/>
  <c r="S10" i="17"/>
  <c r="L11" i="2"/>
  <c r="V15" i="20"/>
  <c r="V18" i="20" s="1"/>
  <c r="S12" i="14"/>
  <c r="V12" i="14" s="1"/>
  <c r="R11" i="14"/>
  <c r="T12" i="11"/>
  <c r="S11" i="14"/>
  <c r="V11" i="14" s="1"/>
  <c r="AA10" i="16"/>
  <c r="AA17" i="16"/>
  <c r="AA9" i="16"/>
  <c r="X13" i="20"/>
  <c r="S9" i="17"/>
  <c r="S17" i="17"/>
  <c r="AZ15" i="11"/>
  <c r="AZ18" i="11" s="1"/>
  <c r="L10" i="2"/>
  <c r="X10" i="21"/>
  <c r="S16" i="17"/>
  <c r="AM15" i="11"/>
  <c r="AO16" i="17"/>
  <c r="AO17" i="17"/>
  <c r="AM9" i="11"/>
  <c r="AP13" i="20"/>
  <c r="AM11" i="11"/>
  <c r="AO9" i="17"/>
  <c r="AO12" i="17"/>
  <c r="AM16" i="11"/>
  <c r="AM12" i="11"/>
  <c r="L12" i="2"/>
  <c r="AZ11" i="11"/>
  <c r="V15" i="16"/>
  <c r="X17" i="17"/>
  <c r="AA16" i="16"/>
  <c r="R17" i="14"/>
  <c r="X15" i="16"/>
  <c r="X18" i="16" s="1"/>
  <c r="S15" i="17"/>
  <c r="V12" i="21"/>
  <c r="X11" i="17"/>
  <c r="X10" i="17"/>
  <c r="S9" i="14"/>
  <c r="V9" i="14" s="1"/>
  <c r="S17" i="14"/>
  <c r="V17" i="14" s="1"/>
  <c r="U10" i="17"/>
  <c r="AQ10" i="21"/>
  <c r="BL16" i="11"/>
  <c r="T15" i="16"/>
  <c r="BL11" i="11"/>
  <c r="BJ11" i="11"/>
  <c r="V11" i="11"/>
  <c r="BK12" i="11"/>
  <c r="BH17" i="16"/>
  <c r="T9" i="11"/>
  <c r="L15" i="2"/>
  <c r="BF15" i="11"/>
  <c r="BL10" i="11"/>
  <c r="S15" i="16"/>
  <c r="S18" i="16" s="1"/>
  <c r="BU16" i="17"/>
  <c r="BW15" i="20"/>
  <c r="BW17" i="20"/>
  <c r="AZ9" i="11"/>
  <c r="AP15" i="20"/>
  <c r="BH9" i="11"/>
  <c r="V17" i="16"/>
  <c r="BF17" i="11"/>
  <c r="BH15" i="11"/>
  <c r="BH18" i="11" s="1"/>
  <c r="AP16" i="20"/>
  <c r="V10" i="21"/>
  <c r="X13" i="17"/>
  <c r="C13" i="6"/>
  <c r="BD13" i="13"/>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18" i="17"/>
  <c r="Q19" i="17" s="1"/>
  <c r="G18" i="2"/>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S18" i="16"/>
  <c r="AD13" i="16"/>
  <c r="AD19" i="16" s="1"/>
  <c r="Q13" i="16"/>
  <c r="X13" i="16"/>
  <c r="AS18" i="16"/>
  <c r="AZ13" i="16"/>
  <c r="AN19" i="16"/>
  <c r="AW19" i="11"/>
  <c r="Q16" i="11"/>
  <c r="P16" i="11"/>
  <c r="AC16" i="11"/>
  <c r="K13" i="11"/>
  <c r="N18" i="11"/>
  <c r="P12" i="11"/>
  <c r="AZ10" i="11"/>
  <c r="AT18" i="11"/>
  <c r="M13" i="11"/>
  <c r="L13" i="11"/>
  <c r="AP16" i="11"/>
  <c r="Z18" i="11"/>
  <c r="AB13" i="11"/>
  <c r="AQ16" i="11"/>
  <c r="W18" i="11"/>
  <c r="Y16" i="11"/>
  <c r="X18" i="11"/>
  <c r="AC9" i="11"/>
  <c r="H13" i="11"/>
  <c r="E13" i="12" s="1"/>
  <c r="S18" i="11"/>
  <c r="H18" i="11"/>
  <c r="X13" i="11"/>
  <c r="AA18" i="11"/>
  <c r="M18" i="11"/>
  <c r="C16" i="14"/>
  <c r="K16" i="14" s="1"/>
  <c r="J16" i="7"/>
  <c r="J16" i="12"/>
  <c r="F18" i="3"/>
  <c r="G18" i="3" s="1"/>
  <c r="H13" i="3"/>
  <c r="BF18" i="11"/>
  <c r="P15" i="11"/>
  <c r="K12" i="12"/>
  <c r="AJ18" i="11"/>
  <c r="D18" i="5"/>
  <c r="P17" i="11"/>
  <c r="F16" i="2"/>
  <c r="H16" i="2"/>
  <c r="J16" i="2"/>
  <c r="F13" i="3"/>
  <c r="E9" i="3"/>
  <c r="G9" i="3"/>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W21" i="20"/>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7" i="11"/>
  <c r="L20" i="20"/>
  <c r="O10" i="11"/>
  <c r="U17" i="11"/>
  <c r="AX20" i="20"/>
  <c r="H20" i="17"/>
  <c r="F13" i="21" l="1"/>
  <c r="F19" i="21" s="1"/>
  <c r="B19" i="7"/>
  <c r="BH13" i="11"/>
  <c r="P9" i="11"/>
  <c r="AZ19" i="11"/>
  <c r="AZ13" i="11"/>
  <c r="R13" i="21"/>
  <c r="R19" i="21" s="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BR20" i="16"/>
  <c r="AW20" i="11"/>
  <c r="AX20" i="21"/>
  <c r="AU20" i="17"/>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AD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M20" i="21"/>
  <c r="Y20" i="21"/>
  <c r="BN20" i="16"/>
  <c r="AY20" i="21"/>
  <c r="AV20" i="17"/>
  <c r="G20" i="12"/>
  <c r="K20" i="17"/>
  <c r="Z20" i="11"/>
  <c r="BA20" i="16"/>
  <c r="D20" i="12"/>
  <c r="AT20" i="16"/>
  <c r="AV20" i="16"/>
  <c r="Q20" i="11"/>
  <c r="U20" i="11"/>
  <c r="AK20" i="21"/>
  <c r="Z20" i="16"/>
  <c r="M20" i="16"/>
  <c r="Q20" i="16"/>
  <c r="AC20" i="16"/>
  <c r="T20" i="11"/>
  <c r="AH20" i="21"/>
  <c r="BQ20" i="16"/>
  <c r="Y20" i="17"/>
  <c r="S20" i="21"/>
  <c r="AO20" i="16"/>
  <c r="BC20" i="16"/>
  <c r="AC20" i="21"/>
  <c r="U20" i="17"/>
  <c r="BJ20" i="16"/>
  <c r="F20" i="17"/>
  <c r="AQ20" i="16"/>
  <c r="AF20" i="11"/>
  <c r="P20" i="16"/>
  <c r="N20" i="16"/>
  <c r="AG20" i="21"/>
  <c r="AL20" i="17"/>
  <c r="AS20" i="16"/>
  <c r="AD20" i="17"/>
  <c r="H20" i="16"/>
  <c r="AM20" i="11"/>
  <c r="I20" i="12"/>
  <c r="AK20" i="17"/>
  <c r="N20" i="21"/>
  <c r="AU20" i="16"/>
  <c r="V20" i="16"/>
  <c r="J20" i="17"/>
  <c r="BE20" i="16"/>
  <c r="T20" i="16"/>
  <c r="AB20" i="17"/>
  <c r="AA20" i="11"/>
  <c r="AJ20" i="21"/>
  <c r="AJ20" i="16"/>
  <c r="BH20" i="16"/>
  <c r="W20" i="11"/>
  <c r="E20" i="16"/>
  <c r="F20" i="16"/>
  <c r="AD20" i="11"/>
  <c r="K20" i="21"/>
  <c r="M20" i="11"/>
  <c r="AO20" i="17"/>
  <c r="T20" i="17"/>
  <c r="L20" i="11"/>
  <c r="R20" i="11"/>
  <c r="I20" i="11"/>
  <c r="I20" i="17"/>
  <c r="R20" i="16"/>
  <c r="H20" i="11"/>
  <c r="AW20" i="21"/>
  <c r="BB20" i="16"/>
  <c r="L20" i="16"/>
  <c r="AF20" i="21"/>
  <c r="W20" i="17"/>
  <c r="AO20" i="11"/>
  <c r="E20" i="21"/>
  <c r="BM20" i="16"/>
  <c r="BE20" i="21"/>
  <c r="O12" i="11"/>
  <c r="U20" i="21"/>
  <c r="BD19" i="8" l="1"/>
  <c r="AQ20" i="11"/>
  <c r="AQ20" i="17"/>
  <c r="BL20" i="16"/>
  <c r="AP20" i="11"/>
  <c r="AT20" i="2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<sst xmlns="http://schemas.openxmlformats.org/spreadsheetml/2006/main" count="2102" uniqueCount="916">
  <si>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</si>
  <si>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</si>
  <si>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</si>
  <si>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</si>
  <si>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</si>
  <si>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</si>
  <si>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</si>
  <si>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</si>
  <si>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</si>
  <si>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</si>
  <si>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</si>
  <si>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</si>
  <si>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</si>
  <si>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</si>
  <si>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</si>
  <si>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</si>
  <si>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</si>
  <si>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</si>
  <si>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</si>
  <si>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</si>
  <si>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</si>
  <si>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</si>
  <si>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</si>
  <si>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</si>
  <si>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</si>
  <si>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</si>
  <si>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</si>
  <si>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</si>
  <si>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</si>
  <si>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</si>
  <si>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</si>
  <si>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</si>
  <si>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</si>
  <si>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</si>
  <si>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</si>
  <si>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</si>
  <si>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</si>
  <si>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</si>
  <si>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</si>
  <si>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</si>
  <si>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</si>
  <si>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</si>
  <si>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</si>
  <si>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</si>
  <si>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</si>
  <si>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</si>
  <si>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</si>
  <si>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</si>
  <si>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</si>
  <si>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</si>
  <si>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</si>
  <si>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</si>
  <si>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</si>
  <si>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</si>
  <si>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</si>
  <si>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</si>
  <si>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</si>
  <si>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</si>
  <si>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</si>
  <si>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</si>
  <si>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</si>
  <si>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</si>
  <si>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</si>
  <si>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</si>
  <si>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</si>
  <si>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</si>
  <si>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</si>
  <si>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</si>
  <si>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</si>
  <si>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</si>
  <si>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</si>
  <si>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</si>
  <si>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</si>
  <si>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</si>
  <si>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</si>
  <si>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</si>
  <si>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</si>
  <si>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</si>
  <si>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</si>
  <si>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</si>
  <si>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</si>
  <si>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</si>
  <si>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</si>
  <si>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</si>
  <si>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</si>
  <si>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</si>
  <si>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</si>
  <si>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</si>
  <si>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</si>
  <si>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</si>
  <si>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</si>
  <si>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</si>
  <si>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</si>
  <si>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</si>
  <si>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</si>
  <si>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</si>
  <si>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</si>
  <si>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</si>
  <si>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</si>
  <si>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</si>
  <si>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</si>
  <si>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</si>
  <si>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</si>
  <si>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</si>
  <si>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</si>
  <si>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</si>
  <si>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</si>
  <si>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</si>
  <si>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</si>
  <si>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</si>
  <si>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</si>
  <si>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</si>
  <si>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</si>
  <si>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</si>
  <si>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</si>
  <si>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</si>
  <si>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</si>
  <si>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</si>
  <si>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</si>
  <si>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</si>
  <si>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</si>
  <si>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</si>
  <si>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</si>
  <si>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</si>
  <si>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</si>
  <si>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</si>
  <si>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</si>
  <si>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</si>
  <si>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</si>
  <si>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</si>
  <si>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</si>
  <si>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</si>
  <si>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</si>
  <si>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</si>
  <si>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</si>
  <si>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</si>
  <si>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</si>
  <si>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</si>
  <si>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</si>
  <si>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</si>
  <si>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</si>
  <si>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</si>
  <si>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</si>
  <si>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</si>
  <si>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</si>
  <si>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</si>
  <si>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</si>
  <si>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</si>
  <si>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</si>
  <si>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</si>
  <si>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</si>
  <si>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</si>
  <si>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</si>
  <si>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</si>
  <si>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</si>
  <si>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</si>
  <si>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</si>
  <si>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</si>
  <si>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</si>
  <si>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</si>
  <si>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</si>
  <si>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</si>
  <si>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</si>
  <si>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</si>
  <si>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</si>
  <si>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</si>
  <si>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</si>
  <si>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</si>
  <si>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</si>
  <si>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</si>
  <si>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</si>
  <si>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</si>
  <si>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</si>
  <si>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</si>
  <si>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</si>
  <si>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</si>
  <si>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</si>
  <si>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</si>
  <si>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</si>
  <si>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</si>
  <si>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</si>
  <si>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</si>
  <si>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</si>
  <si>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</si>
  <si>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</si>
  <si>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</si>
  <si>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</si>
  <si>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</si>
  <si>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</si>
  <si>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</si>
  <si>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</si>
  <si>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</si>
  <si>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</si>
  <si>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</si>
  <si>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</si>
  <si>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</si>
  <si>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</si>
  <si>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</si>
  <si>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</si>
  <si>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</si>
  <si>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</si>
  <si>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</si>
  <si>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</si>
  <si>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</si>
  <si>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</si>
  <si>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</si>
  <si>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</si>
  <si>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</si>
  <si>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</si>
  <si>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</si>
  <si>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</si>
  <si>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</si>
  <si>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</si>
  <si>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</si>
  <si>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</si>
  <si>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</si>
  <si>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</si>
  <si>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</si>
  <si>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</si>
  <si>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</si>
  <si>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</si>
  <si>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</si>
  <si>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</si>
  <si>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</si>
  <si>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</si>
  <si>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</si>
  <si>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</si>
  <si>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</si>
  <si>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</si>
  <si>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</si>
  <si>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</si>
  <si>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</si>
  <si>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</si>
  <si>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</si>
  <si>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</si>
  <si>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</si>
  <si>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</si>
  <si>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</si>
  <si>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</si>
  <si>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</si>
  <si>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</si>
  <si>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</si>
  <si>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</si>
  <si>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</si>
  <si>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</si>
  <si>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</si>
  <si>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</si>
  <si>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</si>
  <si>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</si>
  <si>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</si>
  <si>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</si>
  <si>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</si>
  <si>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</si>
  <si>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</si>
  <si>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</si>
  <si>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</si>
  <si>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</si>
  <si>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</si>
  <si>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</si>
  <si>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</si>
  <si>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</si>
  <si>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</si>
  <si>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</si>
  <si>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</si>
  <si>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</si>
  <si>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</si>
  <si>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</si>
  <si>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</si>
  <si>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</si>
  <si>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</si>
  <si>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</si>
  <si>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</si>
  <si>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</si>
  <si>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</si>
  <si>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</si>
  <si>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</si>
  <si>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</si>
  <si>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</si>
  <si>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</si>
  <si>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</si>
  <si>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</si>
  <si>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</si>
  <si>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</si>
  <si>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</si>
  <si>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</si>
  <si>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</si>
  <si>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</si>
  <si>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</si>
  <si>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</si>
  <si>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</si>
  <si>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</si>
  <si>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</si>
  <si>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</si>
  <si>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</si>
  <si>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</si>
  <si>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</si>
  <si>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</si>
  <si>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</si>
  <si>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</si>
  <si>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</si>
  <si>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</si>
  <si>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</si>
  <si>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</si>
  <si>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</si>
  <si>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</si>
  <si>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</si>
  <si>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</si>
  <si>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</si>
  <si>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</si>
  <si>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</si>
  <si>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</si>
  <si>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</si>
  <si>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</si>
  <si>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</si>
  <si>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</si>
  <si>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</si>
  <si>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</si>
  <si>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</si>
  <si>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</si>
  <si>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</si>
  <si>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</si>
  <si>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</si>
  <si>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</si>
  <si>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</si>
  <si>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</si>
  <si>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</si>
  <si>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</si>
  <si>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</si>
  <si>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</si>
  <si>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</si>
  <si>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</si>
  <si>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</si>
  <si>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</si>
  <si>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</si>
  <si>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</si>
  <si>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</si>
  <si>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</si>
  <si>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</si>
  <si>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</si>
  <si>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</si>
  <si>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</si>
  <si>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</si>
  <si>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</si>
  <si>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</si>
  <si>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</si>
  <si>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</si>
  <si>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</si>
  <si>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</si>
  <si>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</si>
  <si>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</si>
  <si>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</si>
  <si>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</si>
  <si>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</si>
  <si>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</si>
  <si>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</si>
  <si>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</si>
  <si>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</si>
  <si>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</si>
  <si>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</si>
  <si>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</si>
  <si>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</si>
  <si>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</si>
  <si>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</si>
  <si>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</si>
  <si>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</si>
  <si>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</si>
  <si>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</si>
  <si>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</si>
  <si>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</si>
  <si>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</si>
  <si>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</si>
  <si>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</si>
  <si>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</si>
  <si>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</si>
  <si>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</si>
  <si>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</si>
  <si>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</si>
  <si>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</si>
  <si>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</si>
  <si>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</si>
  <si>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</si>
  <si>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</si>
  <si>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</si>
  <si>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</si>
  <si>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</si>
  <si>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</si>
  <si>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</si>
  <si>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</si>
  <si>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</si>
  <si>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</si>
  <si>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</si>
  <si>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</si>
  <si>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</si>
  <si>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</si>
  <si>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</si>
  <si>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</si>
  <si>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</si>
  <si>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</si>
  <si>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</si>
  <si>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</si>
  <si>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</si>
  <si>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</si>
  <si>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</si>
  <si>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</si>
  <si>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</si>
  <si>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</si>
  <si>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</si>
  <si>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</si>
  <si>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</si>
  <si>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</si>
  <si>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</si>
  <si>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</si>
  <si>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</si>
  <si>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</si>
  <si>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</si>
  <si>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</si>
  <si>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</si>
  <si>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</si>
  <si>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</si>
  <si>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</si>
  <si>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</si>
  <si>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</si>
  <si>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</si>
  <si>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</si>
  <si>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</si>
  <si>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</si>
  <si>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</si>
  <si>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</si>
  <si>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</si>
  <si>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</si>
  <si>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</si>
  <si>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</si>
  <si>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</si>
  <si>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</si>
  <si>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</si>
  <si>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</si>
  <si>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</si>
  <si>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</si>
  <si>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</si>
  <si>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</si>
  <si>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</si>
  <si>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</si>
  <si>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</si>
  <si>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</si>
  <si>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</si>
  <si>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</si>
  <si>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</si>
  <si>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</si>
  <si>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</si>
  <si>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</si>
  <si>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</si>
  <si>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</si>
  <si>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</si>
  <si>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</si>
  <si>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</si>
  <si>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</si>
  <si>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</si>
  <si>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</si>
  <si>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</si>
  <si>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</si>
  <si>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</si>
  <si>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</si>
  <si>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</si>
  <si>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</si>
  <si>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</si>
  <si>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</si>
  <si>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</si>
  <si>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</si>
  <si>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</si>
  <si>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</si>
  <si>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</si>
  <si>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</si>
  <si>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</si>
  <si>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</si>
  <si>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</si>
  <si>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</si>
  <si>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</si>
  <si>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</si>
  <si>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</si>
  <si>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</si>
  <si>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</si>
  <si>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</si>
  <si>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</si>
  <si>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</si>
  <si>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</si>
  <si>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</si>
  <si>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</si>
  <si>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</si>
  <si>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</si>
  <si>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</si>
  <si>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</si>
  <si>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</si>
  <si>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</si>
  <si>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</si>
  <si>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</si>
  <si>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</si>
  <si>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</si>
  <si>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</si>
  <si>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</si>
  <si>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</si>
  <si>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</si>
  <si>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</si>
  <si>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</si>
  <si>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</si>
  <si>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</si>
  <si>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</si>
  <si>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</si>
  <si>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</si>
  <si>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</si>
  <si>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</si>
  <si>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</si>
  <si>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</si>
  <si>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</si>
  <si>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</si>
  <si>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</si>
  <si>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</si>
  <si>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</si>
  <si>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</si>
  <si>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</si>
  <si>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</si>
  <si>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</si>
  <si>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</si>
  <si>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</si>
  <si>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</si>
  <si>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</si>
  <si>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</si>
  <si>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</si>
  <si>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</si>
  <si>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</si>
  <si>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</si>
  <si>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</si>
  <si>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</si>
  <si>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</si>
  <si>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</si>
  <si>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</si>
  <si>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</si>
  <si>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</si>
  <si>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</si>
  <si>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</si>
  <si>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</si>
  <si>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</si>
  <si>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</si>
  <si>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</si>
  <si>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</si>
  <si>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</si>
  <si>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</si>
  <si>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</si>
  <si>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</si>
  <si>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</si>
  <si>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</si>
  <si>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</si>
  <si>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</si>
  <si>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</si>
  <si>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</si>
  <si>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</si>
  <si>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</si>
  <si>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</si>
  <si>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</si>
  <si>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</si>
  <si>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</si>
  <si>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</si>
  <si>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</si>
  <si>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</si>
  <si>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</si>
  <si>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</si>
  <si>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</si>
  <si>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</si>
  <si>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</si>
  <si>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</si>
  <si>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</si>
  <si>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</si>
  <si>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</si>
  <si>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</si>
  <si>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</si>
  <si>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</si>
  <si>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</si>
  <si>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</si>
  <si>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</si>
  <si>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</si>
  <si>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</si>
  <si>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</si>
  <si>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</si>
  <si>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</si>
  <si>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</si>
  <si>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</si>
  <si>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</si>
  <si>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</si>
  <si>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</si>
  <si>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</si>
  <si>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</si>
  <si>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</si>
  <si>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</si>
  <si>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</si>
  <si>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</si>
  <si>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</si>
  <si>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</si>
  <si>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</si>
  <si>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</si>
  <si>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</si>
  <si>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</si>
  <si>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</si>
  <si>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</si>
  <si>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</si>
  <si>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</si>
  <si>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</si>
  <si>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</si>
  <si>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</si>
  <si>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</si>
  <si>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</si>
  <si>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</si>
  <si>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</si>
  <si>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</si>
  <si>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</si>
  <si>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</si>
  <si>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</si>
  <si>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</si>
  <si>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</si>
  <si>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</si>
  <si>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</si>
  <si>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</si>
  <si>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</si>
  <si>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</si>
  <si>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</si>
  <si>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</si>
  <si>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</si>
  <si>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</si>
  <si>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</si>
  <si>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</si>
  <si>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</si>
  <si>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</si>
  <si>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</si>
  <si>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</si>
  <si>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</si>
  <si>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</si>
  <si>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</si>
  <si>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</si>
  <si>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</si>
  <si>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</si>
  <si>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</si>
  <si>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</si>
  <si>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</si>
  <si>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</si>
  <si>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</si>
  <si>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</si>
  <si>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</si>
  <si>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</si>
  <si>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</si>
  <si>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</si>
  <si>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</si>
  <si>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</si>
  <si>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</si>
  <si>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</si>
  <si>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</si>
  <si>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</si>
  <si>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</si>
  <si>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</si>
  <si>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</si>
  <si>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</si>
  <si>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</si>
  <si>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</si>
  <si>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</si>
  <si>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</si>
  <si>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</si>
  <si>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</si>
  <si>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</si>
  <si>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</si>
  <si>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</si>
  <si>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</si>
  <si>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</si>
  <si>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</si>
  <si>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</si>
  <si>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</si>
  <si>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</si>
  <si>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</si>
  <si>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</si>
  <si>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</si>
  <si>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</si>
  <si>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</si>
  <si>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</si>
  <si>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</si>
  <si>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</si>
  <si>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</si>
  <si>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</si>
  <si>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</si>
  <si>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</si>
  <si>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</si>
  <si>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</si>
  <si>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</si>
  <si>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</si>
  <si>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</si>
  <si>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</si>
  <si>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</si>
  <si>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</si>
  <si>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</si>
  <si>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</si>
  <si>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</si>
  <si>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</si>
  <si>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</si>
  <si>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</si>
  <si>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</si>
  <si>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</si>
  <si>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</si>
  <si>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</si>
  <si>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</si>
  <si>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</si>
  <si>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</si>
  <si>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</si>
  <si>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</si>
  <si>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</si>
  <si>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</si>
  <si>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</si>
  <si>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</si>
  <si>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</si>
  <si>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</si>
  <si>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</si>
  <si>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</si>
  <si>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</si>
  <si>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</si>
  <si>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</si>
  <si>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</si>
  <si>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</si>
  <si>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</si>
  <si>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</si>
  <si>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</si>
  <si>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</si>
  <si>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</si>
  <si>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</si>
  <si>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</si>
  <si>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</si>
  <si>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</si>
  <si>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</si>
  <si>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</si>
  <si>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</si>
  <si>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</si>
  <si>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</si>
  <si>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</si>
  <si>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</si>
  <si>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</si>
  <si>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</si>
  <si>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</si>
  <si>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</si>
  <si>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</si>
  <si>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</si>
  <si>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</si>
  <si>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</si>
  <si>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</si>
  <si>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</si>
  <si>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</si>
  <si>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</si>
  <si>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</si>
  <si>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</si>
  <si>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</si>
  <si>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</si>
  <si>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</si>
  <si>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</si>
  <si>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</si>
  <si>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</si>
  <si>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</si>
  <si>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</si>
  <si>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</si>
  <si>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</si>
  <si>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</si>
  <si>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</si>
  <si>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</si>
  <si>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</si>
  <si>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</si>
  <si>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</si>
  <si>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</si>
  <si>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</si>
  <si>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</si>
  <si>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</si>
  <si>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</si>
  <si>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</si>
  <si>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</si>
  <si>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</si>
  <si>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</si>
  <si>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</si>
  <si>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</si>
  <si>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</si>
  <si>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</si>
  <si>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</si>
  <si>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</si>
  <si>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</si>
  <si>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</si>
  <si>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</si>
  <si>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</si>
  <si>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</si>
  <si>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</si>
  <si>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</si>
  <si>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</si>
  <si>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</si>
  <si>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</si>
  <si>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</si>
  <si>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</si>
  <si>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</si>
  <si>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</si>
  <si>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</si>
  <si>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</si>
  <si>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</si>
  <si>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</si>
  <si>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</si>
  <si>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</si>
  <si>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</si>
  <si>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</si>
  <si>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</si>
  <si>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</si>
  <si>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</si>
  <si>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</si>
  <si>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</si>
  <si>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</si>
  <si>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</si>
  <si>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</si>
  <si>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</si>
  <si>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</si>
  <si>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</si>
  <si>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</si>
  <si>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</si>
  <si>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</si>
  <si>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</si>
  <si>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</si>
  <si>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</si>
  <si>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</si>
  <si>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</si>
  <si>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</si>
  <si>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</si>
  <si>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</si>
  <si>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</si>
  <si>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</si>
  <si>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</si>
  <si>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</si>
  <si>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</si>
  <si>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</si>
  <si>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</si>
  <si>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</si>
  <si>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</si>
  <si>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</si>
  <si>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</si>
  <si>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</si>
  <si>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</si>
  <si>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</si>
  <si>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</si>
  <si>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</si>
  <si>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</si>
  <si>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</si>
  <si>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</si>
  <si>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</si>
  <si>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</si>
  <si>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</si>
  <si>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</si>
  <si>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</si>
  <si>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</si>
  <si>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</si>
  <si>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</si>
  <si>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</si>
  <si>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</si>
  <si>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</si>
  <si>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</si>
  <si>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</si>
  <si>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</si>
  <si>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</si>
  <si>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</si>
  <si>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</si>
  <si>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</si>
  <si>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</si>
  <si>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</si>
  <si>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</si>
  <si>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</si>
  <si>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</si>
  <si>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</si>
  <si>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</si>
  <si>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</si>
  <si>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</si>
  <si>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</si>
  <si>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</si>
  <si>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</si>
  <si>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</si>
  <si>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</si>
  <si>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</si>
  <si>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</si>
  <si>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</si>
  <si>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</si>
  <si>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</si>
  <si>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</si>
  <si>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</si>
  <si>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</si>
  <si>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</si>
  <si>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</si>
  <si>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</si>
  <si>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</si>
  <si>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</si>
  <si>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</si>
  <si>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</si>
  <si>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</si>
  <si>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</si>
  <si>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</si>
  <si>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</si>
  <si>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</si>
  <si>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</si>
  <si>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</si>
  <si>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</si>
  <si>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</si>
  <si>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</si>
  <si>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</si>
  <si>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</si>
  <si>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</si>
  <si>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</si>
  <si>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</si>
  <si>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</si>
  <si>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</si>
  <si>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</si>
  <si>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</si>
  <si>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</si>
  <si>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MADRID</t>
  </si>
  <si>
    <t>Provincias</t>
  </si>
  <si>
    <t>Resumenes por Partidos Judiciales</t>
  </si>
  <si>
    <t>ARANJUEZ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</si>
</sst>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912</v>
      </c>
      <c r="C10" s="372"/>
      <c r="D10" s="372"/>
      <c r="E10" s="381"/>
      <c r="F10" s="3"/>
      <c r="Q10" s="346">
        <v>0</v>
      </c>
    </row>
    <row r="11" spans="1:19" ht="13.5" thickBot="1">
      <c r="A11" s="382" t="s">
        <v>914</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AMYsCry0pU8ZfJSZlalx8uZSmHehXoUuXebTrax3uz4vmqV1pW/NrNPtnTxSS6FJWp3+op4XmWeXRSEAMp2BSw==" saltValue="IainFl1lioNeOHSc3Bdvp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36</v>
      </c>
      <c r="D10" s="225">
        <f>IF(ISNUMBER(Datos!I10),Datos!I10," - ")</f>
        <v>36</v>
      </c>
      <c r="E10" s="226">
        <f>IF(ISNUMBER(Datos!J10),Datos!J10," - ")</f>
        <v>7</v>
      </c>
      <c r="F10" s="226">
        <f>IF(ISNUMBER(Datos!K10),Datos!K10," - ")</f>
        <v>11</v>
      </c>
      <c r="G10" s="1034" t="str">
        <f>IF(Datos!E10&lt;&gt;"",Datos!E10,Datos!D10)</f>
        <v>37</v>
      </c>
      <c r="H10" s="227">
        <f>IF(ISNUMBER(Datos!L10),Datos!L10," - ")</f>
        <v>32</v>
      </c>
      <c r="I10" s="1044" t="str">
        <f>IF(ISNUMBER(Datos!AS10/Datos!BM10),Datos!AS10/Datos!BM10," - ")</f>
        <v xml:space="preserve"> - </v>
      </c>
      <c r="J10" s="1045">
        <f>IF(ISNUMBER(Datos!BY10/Datos!CN10),Datos!BY10/Datos!CN10," - ")</f>
        <v>0</v>
      </c>
      <c r="K10" s="230">
        <f t="shared" ref="K10:K12" si="1">IF(ISNUMBER((E10-F10)/C10),(E10-F10)/C10," - ")</f>
        <v>-0.1111111111111111</v>
      </c>
      <c r="L10" s="1025">
        <f>IF(ISNUMBER(NºAsuntos!I10/NºAsuntos!G10),(NºAsuntos!I10/NºAsuntos!G10)*11," - ")</f>
        <v>32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25.528177458033575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36</v>
      </c>
      <c r="D13" s="1049">
        <f>SUBTOTAL(9,D9:D12)</f>
        <v>36</v>
      </c>
      <c r="E13" s="1050">
        <f>SUBTOTAL(9,E9:E12)</f>
        <v>7</v>
      </c>
      <c r="F13" s="1051">
        <f>SUBTOTAL(9,F9:F12)</f>
        <v>11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884</v>
      </c>
      <c r="D16" s="225">
        <f>IF(ISNUMBER(IF(D_I="SI",Datos!I16,Datos!I16+Datos!AC16)),IF(D_I="SI",Datos!I16,Datos!I16+Datos!AC16)," - ")</f>
        <v>853</v>
      </c>
      <c r="E16" s="226">
        <f>IF(ISNUMBER(IF(D_I="SI",Datos!J16,Datos!J16+Datos!AD16)),IF(D_I="SI",Datos!J16,Datos!J16+Datos!AD16)," - ")</f>
        <v>1326</v>
      </c>
      <c r="F16" s="226">
        <f>IF(ISNUMBER(IF(D_I="SI",Datos!K16,Datos!K16+Datos!AE16)),IF(D_I="SI",Datos!K16,Datos!K16+Datos!AE16)," - ")</f>
        <v>1407</v>
      </c>
      <c r="G16" s="1034" t="str">
        <f>IF(Datos!E16&lt;&gt;"",Datos!E16,Datos!D16)</f>
        <v>04</v>
      </c>
      <c r="H16" s="227">
        <f>IF(ISNUMBER(IF(D_I="SI",Datos!L16,Datos!L16+Datos!AF16)),IF(D_I="SI",Datos!L16,Datos!L16+Datos!AF16)," - ")</f>
        <v>803</v>
      </c>
      <c r="I16" s="1044" t="str">
        <f>IF(ISNUMBER(Datos!AS16/Datos!BM16),Datos!AS16/Datos!BM16," - ")</f>
        <v xml:space="preserve"> - </v>
      </c>
      <c r="J16" s="1045">
        <f>IF(ISNUMBER(Datos!BY16/Datos!CN16),Datos!BY16/Datos!CN16," - ")</f>
        <v>0</v>
      </c>
      <c r="K16" s="230">
        <f t="shared" si="3"/>
        <v>-9.1628959276018093E-2</v>
      </c>
      <c r="L16" s="1025">
        <f>IF(ISNUMBER(NºAsuntos!I16/NºAsuntos!G16),(NºAsuntos!I16/NºAsuntos!G16)*11," - ")</f>
        <v>6.2778962331201136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61</v>
      </c>
      <c r="D17" s="225">
        <f>IF(ISNUMBER(IF(D_I="SI",Datos!I17,Datos!I17+Datos!AC17)),IF(D_I="SI",Datos!I17,Datos!I17+Datos!AC17)," - ")</f>
        <v>60</v>
      </c>
      <c r="E17" s="226">
        <f>IF(ISNUMBER(IF(D_I="SI",Datos!J17,Datos!J17+Datos!AD17)),IF(D_I="SI",Datos!J17,Datos!J17+Datos!AD17)," - ")</f>
        <v>102</v>
      </c>
      <c r="F17" s="226">
        <f>IF(ISNUMBER(IF(D_I="SI",Datos!K17,Datos!K17+Datos!AE17)),IF(D_I="SI",Datos!K17,Datos!K17+Datos!AE17)," - ")</f>
        <v>124</v>
      </c>
      <c r="G17" s="1034" t="str">
        <f>IF(Datos!E17&lt;&gt;"",Datos!E17,Datos!D17)</f>
        <v>37</v>
      </c>
      <c r="H17" s="227">
        <f>IF(ISNUMBER(IF(D_I="SI",Datos!L17,Datos!L17+Datos!AF17)),IF(D_I="SI",Datos!L17,Datos!L17+Datos!AF17)," - ")</f>
        <v>39</v>
      </c>
      <c r="I17" s="1044" t="str">
        <f>IF(ISNUMBER(Datos!AS17/Datos!BM17),Datos!AS17/Datos!BM17," - ")</f>
        <v xml:space="preserve"> - </v>
      </c>
      <c r="J17" s="1045" t="str">
        <f>IF(ISNUMBER((Datos!BY17+Datos!BZ17)/Datos!CN17),(Datos!BY17+Datos!BZ17)/Datos!CN17," - ")</f>
        <v xml:space="preserve"> - </v>
      </c>
      <c r="K17" s="230">
        <f t="shared" si="3"/>
        <v>-0.36065573770491804</v>
      </c>
      <c r="L17" s="1025">
        <f>IF(ISNUMBER(NºAsuntos!I17/NºAsuntos!G17),(NºAsuntos!I17/NºAsuntos!G17)*11," - ")</f>
        <v>3.4596774193548385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945</v>
      </c>
      <c r="D18" s="1049">
        <f>SUBTOTAL(9,D15:D17)</f>
        <v>913</v>
      </c>
      <c r="E18" s="1050">
        <f>SUBTOTAL(9,E15:E17)</f>
        <v>1428</v>
      </c>
      <c r="F18" s="1050">
        <f>SUBTOTAL(9,F15:F17)</f>
        <v>1531</v>
      </c>
      <c r="G18" s="1052" t="str">
        <f ca="1">INDIRECT(CONCATENATE("G",ROW()-1))</f>
        <v>37</v>
      </c>
      <c r="H18" s="1053">
        <f ca="1">SUMIF(G$14:G17,G18,H$14:H17)</f>
        <v>39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981</v>
      </c>
      <c r="D19" s="1071">
        <f>SUBTOTAL(9,D9:D18)</f>
        <v>949</v>
      </c>
      <c r="E19" s="1072">
        <f>SUBTOTAL(9,E9:E18)</f>
        <v>1435</v>
      </c>
      <c r="F19" s="1072">
        <f>SUBTOTAL(9,F9:F18)</f>
        <v>1542</v>
      </c>
      <c r="G19" s="1073"/>
      <c r="H19" s="1074">
        <f ca="1">SUMIF(B9:B18,"TOTAL",H9:H18)</f>
        <v>39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dBV532BmbWiwzdRcgFN0ax9s4/gG5Xsjlcwxaba0ooH8Rj/OkK6lOBN0m5gD2Qk97IMo7Rn1YxGuIspW0i4e2Q==" saltValue="7LJi3TtpIEIMR4ZIgggPDw=="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7pIy7dF2w7vulkwLWwabBx3T8UMq5PypIvtHkRTcvKnB1MF2OfMzQZOwxBPqmInsal1ON6qZDi6ZGWEAKqpBCQ==" saltValue="kpWDYWTLakR6dc6Buxw1x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36</v>
      </c>
      <c r="J10" s="181">
        <v>7</v>
      </c>
      <c r="K10" s="181">
        <v>11</v>
      </c>
      <c r="L10" s="181">
        <v>32</v>
      </c>
      <c r="M10" s="181">
        <v>5</v>
      </c>
      <c r="N10" s="181">
        <v>0</v>
      </c>
      <c r="O10" s="181">
        <v>0</v>
      </c>
      <c r="P10" s="181">
        <v>7</v>
      </c>
      <c r="Q10" s="181">
        <v>8</v>
      </c>
      <c r="R10" s="181">
        <v>38</v>
      </c>
      <c r="S10" s="181">
        <v>29</v>
      </c>
      <c r="T10" s="181">
        <v>13</v>
      </c>
      <c r="U10" s="181">
        <v>10</v>
      </c>
      <c r="V10" s="181">
        <v>32</v>
      </c>
      <c r="W10" s="181">
        <v>7</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29</v>
      </c>
      <c r="AZ10" s="129">
        <f t="shared" si="0"/>
        <v>13</v>
      </c>
      <c r="BA10" s="129">
        <f t="shared" si="0"/>
        <v>10</v>
      </c>
      <c r="BB10" s="129">
        <f t="shared" si="0"/>
        <v>32</v>
      </c>
      <c r="BC10" s="125">
        <f t="shared" si="0"/>
        <v>7</v>
      </c>
      <c r="BD10" s="126">
        <f>IF(ISNUMBER(BA10/AZ10),BA10/AZ10," - ")</f>
        <v>0.76923076923076927</v>
      </c>
      <c r="BE10" s="127">
        <f>IF(ISNUMBER(BB10/BA10),BB10/BA10, " - ")</f>
        <v>3.2</v>
      </c>
      <c r="BF10" s="127">
        <f>IF(ISNUMBER(BC10/BA10),BC10/BA10, " - ")</f>
        <v>0.7</v>
      </c>
      <c r="BG10" s="196">
        <f>IF(ISNUMBER((AY10+AZ10)/BA10),(AY10+AZ10)/BA10," - ")</f>
        <v>4.2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3416</v>
      </c>
      <c r="J12" s="183">
        <v>2026</v>
      </c>
      <c r="K12" s="183">
        <v>1623</v>
      </c>
      <c r="L12" s="183">
        <v>3803</v>
      </c>
      <c r="M12" s="183">
        <v>236</v>
      </c>
      <c r="N12" s="183">
        <v>1191</v>
      </c>
      <c r="O12" s="181">
        <v>322</v>
      </c>
      <c r="P12" s="183">
        <v>128</v>
      </c>
      <c r="Q12" s="183">
        <v>137</v>
      </c>
      <c r="R12" s="183">
        <v>3082</v>
      </c>
      <c r="S12" s="183">
        <v>2057</v>
      </c>
      <c r="T12" s="183">
        <v>1166</v>
      </c>
      <c r="U12" s="183">
        <v>933</v>
      </c>
      <c r="V12" s="183">
        <v>2286</v>
      </c>
      <c r="W12" s="183">
        <v>211</v>
      </c>
      <c r="X12" s="189">
        <v>660</v>
      </c>
      <c r="Y12" s="191">
        <v>74</v>
      </c>
      <c r="Z12" s="181">
        <v>39</v>
      </c>
      <c r="AA12" s="181">
        <v>45</v>
      </c>
      <c r="AB12" s="181">
        <v>68</v>
      </c>
      <c r="AC12" s="183">
        <v>0</v>
      </c>
      <c r="AD12" s="183">
        <v>0</v>
      </c>
      <c r="AE12" s="183">
        <v>0</v>
      </c>
      <c r="AF12" s="189">
        <v>0</v>
      </c>
      <c r="AG12" s="202">
        <v>74</v>
      </c>
      <c r="AH12" s="183">
        <v>66</v>
      </c>
      <c r="AI12" s="183">
        <v>56</v>
      </c>
      <c r="AJ12" s="203">
        <v>84</v>
      </c>
      <c r="AK12" s="182">
        <v>0</v>
      </c>
      <c r="AL12" s="183">
        <v>0</v>
      </c>
      <c r="AM12" s="183">
        <v>0</v>
      </c>
      <c r="AN12" s="189">
        <v>0</v>
      </c>
      <c r="AO12" s="259">
        <v>4</v>
      </c>
      <c r="AP12" s="155">
        <v>4</v>
      </c>
      <c r="AQ12" s="155">
        <v>4</v>
      </c>
      <c r="AR12" s="154">
        <v>4</v>
      </c>
      <c r="AS12" s="340" t="s">
        <v>801</v>
      </c>
      <c r="AT12" s="203"/>
      <c r="AU12" s="202"/>
      <c r="AV12" s="203"/>
      <c r="AW12" s="202"/>
      <c r="AX12" s="203"/>
      <c r="AY12" s="126">
        <f t="shared" si="1"/>
        <v>2131</v>
      </c>
      <c r="AZ12" s="127">
        <f t="shared" si="1"/>
        <v>1232</v>
      </c>
      <c r="BA12" s="127">
        <f t="shared" si="1"/>
        <v>989</v>
      </c>
      <c r="BB12" s="127">
        <f t="shared" si="1"/>
        <v>2370</v>
      </c>
      <c r="BC12" s="125">
        <f>IF(ISNUMBER(X12),X12," - ")</f>
        <v>660</v>
      </c>
      <c r="BD12" s="126">
        <f t="shared" si="2"/>
        <v>0.80275974025974028</v>
      </c>
      <c r="BE12" s="127">
        <f t="shared" si="3"/>
        <v>2.3963599595551064</v>
      </c>
      <c r="BF12" s="127">
        <f t="shared" si="4"/>
        <v>0.66734074823053591</v>
      </c>
      <c r="BG12" s="196">
        <f t="shared" si="5"/>
        <v>3.4004044489383216</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3452</v>
      </c>
      <c r="J13" s="184">
        <f t="shared" si="6"/>
        <v>2033</v>
      </c>
      <c r="K13" s="184">
        <f t="shared" si="6"/>
        <v>1634</v>
      </c>
      <c r="L13" s="184">
        <f t="shared" si="6"/>
        <v>3835</v>
      </c>
      <c r="M13" s="184">
        <f t="shared" si="6"/>
        <v>241</v>
      </c>
      <c r="N13" s="184">
        <f t="shared" si="6"/>
        <v>1191</v>
      </c>
      <c r="O13" s="184">
        <f t="shared" si="6"/>
        <v>322</v>
      </c>
      <c r="P13" s="184">
        <f t="shared" si="6"/>
        <v>135</v>
      </c>
      <c r="Q13" s="184">
        <f t="shared" si="6"/>
        <v>145</v>
      </c>
      <c r="R13" s="184">
        <f t="shared" si="6"/>
        <v>3120</v>
      </c>
      <c r="S13" s="184">
        <f t="shared" si="6"/>
        <v>2086</v>
      </c>
      <c r="T13" s="184">
        <f t="shared" si="6"/>
        <v>1179</v>
      </c>
      <c r="U13" s="184">
        <f t="shared" si="6"/>
        <v>943</v>
      </c>
      <c r="V13" s="184">
        <f t="shared" si="6"/>
        <v>2318</v>
      </c>
      <c r="W13" s="184">
        <f t="shared" si="6"/>
        <v>218</v>
      </c>
      <c r="X13" s="184">
        <f t="shared" si="6"/>
        <v>661</v>
      </c>
      <c r="Y13" s="184">
        <f t="shared" si="6"/>
        <v>74</v>
      </c>
      <c r="Z13" s="184">
        <f t="shared" si="6"/>
        <v>39</v>
      </c>
      <c r="AA13" s="184">
        <f t="shared" si="6"/>
        <v>45</v>
      </c>
      <c r="AB13" s="184">
        <f t="shared" si="6"/>
        <v>68</v>
      </c>
      <c r="AC13" s="184">
        <f t="shared" si="6"/>
        <v>0</v>
      </c>
      <c r="AD13" s="184">
        <f t="shared" si="6"/>
        <v>0</v>
      </c>
      <c r="AE13" s="184">
        <f t="shared" si="6"/>
        <v>0</v>
      </c>
      <c r="AF13" s="184">
        <f>SUBTOTAL(9,AF9:AF12)</f>
        <v>0</v>
      </c>
      <c r="AG13" s="184">
        <f t="shared" ref="AG13:AT13" si="7">SUBTOTAL(9,AG8:AG12)</f>
        <v>74</v>
      </c>
      <c r="AH13" s="184">
        <f t="shared" si="7"/>
        <v>66</v>
      </c>
      <c r="AI13" s="184">
        <f t="shared" si="7"/>
        <v>56</v>
      </c>
      <c r="AJ13" s="184">
        <f t="shared" si="7"/>
        <v>84</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2160</v>
      </c>
      <c r="AZ13" s="184">
        <f>SUBTOTAL(9,AZ8:AZ12)</f>
        <v>1245</v>
      </c>
      <c r="BA13" s="184">
        <f>SUBTOTAL(9,BA8:BA12)</f>
        <v>999</v>
      </c>
      <c r="BB13" s="184">
        <f>SUBTOTAL(9,BB8:BB12)</f>
        <v>2402</v>
      </c>
      <c r="BC13" s="184">
        <f>SUBTOTAL(9,BC8:BC12)</f>
        <v>667</v>
      </c>
      <c r="BD13" s="205">
        <f>IF(ISNUMBER(BA13/AZ13),BA13/AZ13," - ")</f>
        <v>0.80240963855421688</v>
      </c>
      <c r="BE13" s="206">
        <f>IF(ISNUMBER(BB13/BA13),BB13/BA13, " - ")</f>
        <v>2.4044044044044046</v>
      </c>
      <c r="BF13" s="206">
        <f>IF(ISNUMBER(BC13/BA13),BC13/BA13, " - ")</f>
        <v>0.66766766766766772</v>
      </c>
      <c r="BG13" s="207">
        <f>IF(ISNUMBER((AY13+AZ13)/BA13),(AY13+AZ13)/BA13," - ")</f>
        <v>3.4084084084084085</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853</v>
      </c>
      <c r="J16" s="183">
        <v>1326</v>
      </c>
      <c r="K16" s="183">
        <v>1407</v>
      </c>
      <c r="L16" s="183">
        <v>803</v>
      </c>
      <c r="M16" s="183">
        <v>85</v>
      </c>
      <c r="N16" s="183">
        <v>1025</v>
      </c>
      <c r="O16" s="181">
        <v>5</v>
      </c>
      <c r="P16" s="183">
        <v>32</v>
      </c>
      <c r="Q16" s="183">
        <v>48</v>
      </c>
      <c r="R16" s="183">
        <v>128</v>
      </c>
      <c r="S16" s="183">
        <v>856</v>
      </c>
      <c r="T16" s="183">
        <v>1233</v>
      </c>
      <c r="U16" s="183">
        <v>1318</v>
      </c>
      <c r="V16" s="183">
        <v>784</v>
      </c>
      <c r="W16" s="183">
        <v>101</v>
      </c>
      <c r="X16" s="189">
        <v>900</v>
      </c>
      <c r="Y16" s="202">
        <v>0</v>
      </c>
      <c r="Z16" s="183">
        <v>0</v>
      </c>
      <c r="AA16" s="183">
        <v>0</v>
      </c>
      <c r="AB16" s="183">
        <v>0</v>
      </c>
      <c r="AC16" s="183">
        <v>3</v>
      </c>
      <c r="AD16" s="183">
        <v>1</v>
      </c>
      <c r="AE16" s="183">
        <v>1</v>
      </c>
      <c r="AF16" s="189">
        <v>3</v>
      </c>
      <c r="AG16" s="202">
        <v>0</v>
      </c>
      <c r="AH16" s="183">
        <v>0</v>
      </c>
      <c r="AI16" s="183">
        <v>0</v>
      </c>
      <c r="AJ16" s="203">
        <v>0</v>
      </c>
      <c r="AK16" s="182">
        <v>3</v>
      </c>
      <c r="AL16" s="183">
        <v>4</v>
      </c>
      <c r="AM16" s="183">
        <v>4</v>
      </c>
      <c r="AN16" s="189">
        <v>3</v>
      </c>
      <c r="AO16" s="259">
        <v>4</v>
      </c>
      <c r="AP16" s="155">
        <v>4</v>
      </c>
      <c r="AQ16" s="155">
        <v>4</v>
      </c>
      <c r="AR16" s="155">
        <v>4</v>
      </c>
      <c r="AS16" s="340" t="s">
        <v>487</v>
      </c>
      <c r="AT16" s="203"/>
      <c r="AU16" s="202"/>
      <c r="AV16" s="203"/>
      <c r="AW16" s="202"/>
      <c r="AX16" s="203"/>
      <c r="AY16" s="126">
        <f t="shared" si="9"/>
        <v>856</v>
      </c>
      <c r="AZ16" s="127">
        <f t="shared" si="9"/>
        <v>1233</v>
      </c>
      <c r="BA16" s="127">
        <f t="shared" si="9"/>
        <v>1318</v>
      </c>
      <c r="BB16" s="127">
        <f t="shared" si="9"/>
        <v>784</v>
      </c>
      <c r="BC16" s="125">
        <f>IF(ISNUMBER(W16),W16," - ")</f>
        <v>101</v>
      </c>
      <c r="BD16" s="126">
        <f t="shared" ref="BD16" si="11">IF(ISNUMBER(BA16/AZ16),BA16/AZ16," - ")</f>
        <v>1.0689375506893755</v>
      </c>
      <c r="BE16" s="127">
        <f t="shared" ref="BE16" si="12">IF(ISNUMBER(BB16/BA16),BB16/BA16, " - ")</f>
        <v>0.59484066767830046</v>
      </c>
      <c r="BF16" s="127">
        <f t="shared" ref="BF16" si="13">IF(ISNUMBER(BC16/BA16),BC16/BA16, " - ")</f>
        <v>7.6631259484066766E-2</v>
      </c>
      <c r="BG16" s="196">
        <f t="shared" si="10"/>
        <v>1.5849772382397571</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60</v>
      </c>
      <c r="J17" s="183">
        <v>102</v>
      </c>
      <c r="K17" s="183">
        <v>124</v>
      </c>
      <c r="L17" s="183">
        <v>39</v>
      </c>
      <c r="M17" s="183">
        <v>5</v>
      </c>
      <c r="N17" s="183">
        <v>87</v>
      </c>
      <c r="O17" s="183">
        <v>0</v>
      </c>
      <c r="P17" s="183">
        <v>0</v>
      </c>
      <c r="Q17" s="183">
        <v>0</v>
      </c>
      <c r="R17" s="183">
        <v>0</v>
      </c>
      <c r="S17" s="183">
        <v>45</v>
      </c>
      <c r="T17" s="183">
        <v>119</v>
      </c>
      <c r="U17" s="183">
        <v>130</v>
      </c>
      <c r="V17" s="183">
        <v>34</v>
      </c>
      <c r="W17" s="183">
        <v>7</v>
      </c>
      <c r="X17" s="189">
        <v>108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45</v>
      </c>
      <c r="AZ17" s="129">
        <f t="shared" si="14"/>
        <v>119</v>
      </c>
      <c r="BA17" s="129">
        <f t="shared" si="14"/>
        <v>130</v>
      </c>
      <c r="BB17" s="129">
        <f t="shared" si="14"/>
        <v>34</v>
      </c>
      <c r="BC17" s="125">
        <f>IF(ISNUMBER(W17),W17," - ")</f>
        <v>7</v>
      </c>
      <c r="BD17" s="126">
        <f>IF(ISNUMBER(BA17/AZ17),BA17/AZ17," - ")</f>
        <v>1.0924369747899159</v>
      </c>
      <c r="BE17" s="127">
        <f>IF(ISNUMBER(BB17/BA17),BB17/BA17, " - ")</f>
        <v>0.26153846153846155</v>
      </c>
      <c r="BF17" s="127">
        <f>IF(ISNUMBER(BC17/BA17),BC17/BA17, " - ")</f>
        <v>5.3846153846153849E-2</v>
      </c>
      <c r="BG17" s="196">
        <f>IF(ISNUMBER((AY17+AZ17)/BA17),(AY17+AZ17)/BA17," - ")</f>
        <v>1.2615384615384615</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913</v>
      </c>
      <c r="J18" s="184">
        <f t="shared" si="15"/>
        <v>1428</v>
      </c>
      <c r="K18" s="184">
        <f t="shared" si="15"/>
        <v>1531</v>
      </c>
      <c r="L18" s="184">
        <f t="shared" si="15"/>
        <v>842</v>
      </c>
      <c r="M18" s="184">
        <f t="shared" si="15"/>
        <v>90</v>
      </c>
      <c r="N18" s="184">
        <f t="shared" si="15"/>
        <v>1112</v>
      </c>
      <c r="O18" s="184">
        <f t="shared" si="15"/>
        <v>5</v>
      </c>
      <c r="P18" s="184">
        <f t="shared" si="15"/>
        <v>32</v>
      </c>
      <c r="Q18" s="184">
        <f t="shared" si="15"/>
        <v>48</v>
      </c>
      <c r="R18" s="184">
        <f t="shared" si="15"/>
        <v>128</v>
      </c>
      <c r="S18" s="184">
        <f t="shared" si="15"/>
        <v>901</v>
      </c>
      <c r="T18" s="184">
        <f t="shared" si="15"/>
        <v>1352</v>
      </c>
      <c r="U18" s="184">
        <f t="shared" si="15"/>
        <v>1448</v>
      </c>
      <c r="V18" s="184">
        <f t="shared" si="15"/>
        <v>818</v>
      </c>
      <c r="W18" s="184">
        <f t="shared" si="15"/>
        <v>108</v>
      </c>
      <c r="X18" s="184">
        <f t="shared" si="15"/>
        <v>1008</v>
      </c>
      <c r="Y18" s="184">
        <f t="shared" si="15"/>
        <v>0</v>
      </c>
      <c r="Z18" s="184">
        <f t="shared" si="15"/>
        <v>0</v>
      </c>
      <c r="AA18" s="184">
        <f t="shared" si="15"/>
        <v>0</v>
      </c>
      <c r="AB18" s="184">
        <f t="shared" si="15"/>
        <v>0</v>
      </c>
      <c r="AC18" s="184">
        <f t="shared" si="15"/>
        <v>3</v>
      </c>
      <c r="AD18" s="184">
        <f t="shared" si="15"/>
        <v>1</v>
      </c>
      <c r="AE18" s="184">
        <f t="shared" si="15"/>
        <v>1</v>
      </c>
      <c r="AF18" s="184">
        <f t="shared" si="15"/>
        <v>3</v>
      </c>
      <c r="AG18" s="184">
        <f t="shared" si="15"/>
        <v>0</v>
      </c>
      <c r="AH18" s="184">
        <f t="shared" si="15"/>
        <v>0</v>
      </c>
      <c r="AI18" s="184">
        <f t="shared" si="15"/>
        <v>0</v>
      </c>
      <c r="AJ18" s="184">
        <f t="shared" si="15"/>
        <v>0</v>
      </c>
      <c r="AK18" s="184">
        <f t="shared" si="15"/>
        <v>3</v>
      </c>
      <c r="AL18" s="184">
        <f t="shared" si="15"/>
        <v>4</v>
      </c>
      <c r="AM18" s="184">
        <f t="shared" si="15"/>
        <v>4</v>
      </c>
      <c r="AN18" s="184">
        <f t="shared" si="15"/>
        <v>3</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901</v>
      </c>
      <c r="AZ18" s="184">
        <f>SUBTOTAL(9,AZ14:AZ17)</f>
        <v>1352</v>
      </c>
      <c r="BA18" s="184">
        <f>SUBTOTAL(9,BA14:BA17)</f>
        <v>1448</v>
      </c>
      <c r="BB18" s="184">
        <f>SUBTOTAL(9,BB14:BB17)</f>
        <v>818</v>
      </c>
      <c r="BC18" s="184">
        <f>SUBTOTAL(9,BC14:BC17)</f>
        <v>108</v>
      </c>
      <c r="BD18" s="205">
        <f>IF(ISNUMBER(BA18/AZ18),BA18/AZ18," - ")</f>
        <v>1.0710059171597632</v>
      </c>
      <c r="BE18" s="206">
        <f>IF(ISNUMBER(BB18/BA18),BB18/BA18, " - ")</f>
        <v>0.56491712707182318</v>
      </c>
      <c r="BF18" s="206">
        <f>IF(ISNUMBER(BC18/BA18),BC18/BA18, " - ")</f>
        <v>7.4585635359116026E-2</v>
      </c>
      <c r="BG18" s="207">
        <f>IF(ISNUMBER((AY18+AZ18)/BA18),(AY18+AZ18)/BA18," - ")</f>
        <v>1.555939226519337</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4365</v>
      </c>
      <c r="J19" s="134">
        <f t="shared" si="18"/>
        <v>3461</v>
      </c>
      <c r="K19" s="134">
        <f t="shared" si="18"/>
        <v>3165</v>
      </c>
      <c r="L19" s="134">
        <f t="shared" si="18"/>
        <v>4677</v>
      </c>
      <c r="M19" s="134">
        <f t="shared" si="18"/>
        <v>331</v>
      </c>
      <c r="N19" s="134">
        <f t="shared" si="18"/>
        <v>2303</v>
      </c>
      <c r="O19" s="134">
        <f t="shared" si="18"/>
        <v>327</v>
      </c>
      <c r="P19" s="134">
        <f t="shared" si="18"/>
        <v>167</v>
      </c>
      <c r="Q19" s="134">
        <f t="shared" si="18"/>
        <v>193</v>
      </c>
      <c r="R19" s="134">
        <f t="shared" si="18"/>
        <v>3248</v>
      </c>
      <c r="S19" s="134">
        <f t="shared" si="18"/>
        <v>2987</v>
      </c>
      <c r="T19" s="134">
        <f t="shared" si="18"/>
        <v>2531</v>
      </c>
      <c r="U19" s="134">
        <f t="shared" si="18"/>
        <v>2391</v>
      </c>
      <c r="V19" s="134">
        <f t="shared" si="18"/>
        <v>3136</v>
      </c>
      <c r="W19" s="134">
        <f t="shared" si="18"/>
        <v>326</v>
      </c>
      <c r="X19" s="134">
        <f t="shared" si="18"/>
        <v>1669</v>
      </c>
      <c r="Y19" s="134">
        <f t="shared" si="18"/>
        <v>74</v>
      </c>
      <c r="Z19" s="134">
        <f t="shared" si="18"/>
        <v>39</v>
      </c>
      <c r="AA19" s="134">
        <f t="shared" si="18"/>
        <v>45</v>
      </c>
      <c r="AB19" s="134">
        <f t="shared" si="18"/>
        <v>68</v>
      </c>
      <c r="AC19" s="134">
        <f t="shared" si="18"/>
        <v>3</v>
      </c>
      <c r="AD19" s="134">
        <f t="shared" si="18"/>
        <v>1</v>
      </c>
      <c r="AE19" s="134">
        <f t="shared" si="18"/>
        <v>1</v>
      </c>
      <c r="AF19" s="134">
        <f t="shared" si="18"/>
        <v>3</v>
      </c>
      <c r="AG19" s="134">
        <f t="shared" si="18"/>
        <v>74</v>
      </c>
      <c r="AH19" s="134">
        <f t="shared" si="18"/>
        <v>66</v>
      </c>
      <c r="AI19" s="134">
        <f t="shared" si="18"/>
        <v>56</v>
      </c>
      <c r="AJ19" s="134">
        <f t="shared" si="18"/>
        <v>84</v>
      </c>
      <c r="AK19" s="134">
        <f t="shared" si="18"/>
        <v>3</v>
      </c>
      <c r="AL19" s="134">
        <f t="shared" si="18"/>
        <v>4</v>
      </c>
      <c r="AM19" s="134">
        <f t="shared" si="18"/>
        <v>4</v>
      </c>
      <c r="AN19" s="210">
        <f t="shared" si="18"/>
        <v>3</v>
      </c>
      <c r="AO19" s="211">
        <v>5</v>
      </c>
      <c r="AP19" s="211">
        <v>4</v>
      </c>
      <c r="AQ19" s="211">
        <v>4</v>
      </c>
      <c r="AR19" s="211">
        <v>4</v>
      </c>
      <c r="AS19" s="153">
        <f t="shared" si="18"/>
        <v>0</v>
      </c>
      <c r="AT19" s="153">
        <f t="shared" si="18"/>
        <v>0</v>
      </c>
      <c r="AU19" s="211"/>
      <c r="AV19" s="212"/>
      <c r="AW19" s="211"/>
      <c r="AX19" s="212"/>
      <c r="AY19" s="133">
        <f>SUBTOTAL(9,AY9:AY18)</f>
        <v>3061</v>
      </c>
      <c r="AZ19" s="134">
        <f>SUBTOTAL(9,AZ9:AZ18)</f>
        <v>2597</v>
      </c>
      <c r="BA19" s="134">
        <f>SUBTOTAL(9,BA9:BA18)</f>
        <v>2447</v>
      </c>
      <c r="BB19" s="134">
        <f>SUBTOTAL(9,BB9:BB18)</f>
        <v>3220</v>
      </c>
      <c r="BC19" s="135">
        <f>SUBTOTAL(9,BC9:BC18)</f>
        <v>775</v>
      </c>
      <c r="BD19" s="213">
        <f>IF(ISNUMBER(BA19/AZ19),BA19/AZ19," - ")</f>
        <v>0.94224104736234116</v>
      </c>
      <c r="BE19" s="210">
        <f>IF(ISNUMBER(BB19/BA19),BB19/BA19, " - ")</f>
        <v>1.3158970167552104</v>
      </c>
      <c r="BF19" s="210">
        <f>IF(ISNUMBER(BC19/BA19),BC19/BA19, " - ")</f>
        <v>0.31671434409480997</v>
      </c>
      <c r="BG19" s="135">
        <f>IF(ISNUMBER((AY19+AZ19)/BA19),(AY19+AZ19)/BA19," - ")</f>
        <v>2.3122190437270125</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ygUYXy6mxxFPg64xwAHtbNtRm8HaTX72JQb3KKnFtN7YX5R7eI2N7OFDYupVw63cTFdvFdw4lzBLY8MhTTMHQ==" saltValue="EFgrknIdsW2PKMvFEzCil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EXEz5UMdrGgtF17r81nVoIf6Rx2vkdk+cJwqqAXrEnUBc1IeR01j86iwtElP/A2wZ3TwSeddXhh06b3Nus7pA==" saltValue="yjEqk+GGyCQB5y8yPLsO5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ARANJUEZ</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36</v>
      </c>
      <c r="G10" s="333">
        <f>IF(ISNUMBER(Datos!I10),Datos!I10," - ")</f>
        <v>36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7</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11</v>
      </c>
      <c r="AC10" s="226">
        <f>IF(ISNUMBER(Datos!Q10),Datos!Q10," - ")</f>
        <v>8</v>
      </c>
      <c r="AD10" s="334"/>
      <c r="AE10" s="484"/>
      <c r="AF10" s="332">
        <f>IF(ISNUMBER(Datos!L10),Datos!L10,"-")</f>
        <v>32</v>
      </c>
      <c r="AG10" s="334"/>
      <c r="AH10" s="334"/>
      <c r="AI10" s="334"/>
      <c r="AJ10" s="334"/>
      <c r="AK10" s="334"/>
      <c r="AL10" s="479"/>
      <c r="AM10" s="335">
        <f>IF(ISNUMBER(Datos!R10),Datos!R10," - ")</f>
        <v>38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v>
      </c>
      <c r="BD10" s="229">
        <f>IF(ISNUMBER(Datos!N10),Datos!N10," - ")</f>
        <v>0</v>
      </c>
      <c r="BE10" s="229" t="str">
        <f>IF(ISNUMBER(Datos!BW10),Datos!BW10," - ")</f>
        <v xml:space="preserve"> - </v>
      </c>
      <c r="BF10" s="228" t="str">
        <f>IF(ISNUMBER(Datos!BX10),Datos!BX10," - ")</f>
        <v xml:space="preserve"> - </v>
      </c>
      <c r="BG10" s="243">
        <f>IF(ISNUMBER(Datos!K10/Datos!J10),Datos!K10/Datos!J10," - ")</f>
        <v>1.5714285714285714</v>
      </c>
      <c r="BH10" s="260">
        <f>IF(ISNUMBER(((Datos!L10/Datos!K10)*11)/factor_trimestre),((Datos!L10/Datos!K10)*11)/factor_trimestre," - ")</f>
        <v>8.7272727272727284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-2.564102564102564E-2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39</v>
      </c>
      <c r="O12" s="334"/>
      <c r="P12" s="334"/>
      <c r="Q12" s="226">
        <f>IF(ISNUMBER(Datos!P12),Datos!P12,0)</f>
        <v>128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137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68</v>
      </c>
      <c r="AI12" s="334" t="str">
        <f>IF(ISNUMBER(Datos!CD12),Datos!CD12,"-")</f>
        <v>-</v>
      </c>
      <c r="AJ12" s="334" t="str">
        <f>IF(ISNUMBER(Datos!EN12),Datos!EN12," - ")</f>
        <v xml:space="preserve"> - </v>
      </c>
      <c r="AK12" s="334"/>
      <c r="AL12" s="479"/>
      <c r="AM12" s="335">
        <f>IF(ISNUMBER(Datos!R12),Datos!R12," - ")</f>
        <v>3082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236</v>
      </c>
      <c r="BD12" s="229">
        <f>IF(ISNUMBER(Datos!N12),Datos!N12," - ")</f>
        <v>1191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0.80774818401937043</v>
      </c>
      <c r="BH12" s="260">
        <f>IF(ISNUMBER(((IF(J_V="SI",Datos!L12/Datos!K12,(Datos!L12+Datos!AB12)/(Datos!K12+Datos!AA12)))*11)/factor_trimestre),((IF(J_V="SI",Datos!L12/Datos!K12,(Datos!L12+Datos!AB12)/(Datos!K12+Datos!AA12)))*11)/factor_trimestre," - ")</f>
        <v>6.962230215827339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-2.9116790682626984E-3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36</v>
      </c>
      <c r="G13" s="898">
        <f t="shared" si="0"/>
        <v>36</v>
      </c>
      <c r="H13" s="899">
        <f t="shared" si="0"/>
        <v>0</v>
      </c>
      <c r="I13" s="898">
        <f t="shared" si="0"/>
        <v>0</v>
      </c>
      <c r="J13" s="867">
        <f t="shared" si="0"/>
        <v>0</v>
      </c>
      <c r="K13" s="867">
        <f t="shared" si="0"/>
        <v>0</v>
      </c>
      <c r="L13" s="899">
        <f t="shared" si="0"/>
        <v>0</v>
      </c>
      <c r="M13" s="899">
        <f t="shared" si="0"/>
        <v>0</v>
      </c>
      <c r="N13" s="899">
        <f t="shared" si="0"/>
        <v>39</v>
      </c>
      <c r="O13" s="900">
        <f t="shared" si="0"/>
        <v>0</v>
      </c>
      <c r="P13" s="900">
        <f t="shared" si="0"/>
        <v>0</v>
      </c>
      <c r="Q13" s="899">
        <f t="shared" si="0"/>
        <v>135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11</v>
      </c>
      <c r="AC13" s="899">
        <f t="shared" si="1"/>
        <v>145</v>
      </c>
      <c r="AD13" s="899">
        <f t="shared" si="1"/>
        <v>0</v>
      </c>
      <c r="AE13" s="899">
        <f t="shared" si="1"/>
        <v>0</v>
      </c>
      <c r="AF13" s="899">
        <f t="shared" si="1"/>
        <v>32</v>
      </c>
      <c r="AG13" s="899">
        <f t="shared" si="1"/>
        <v>0</v>
      </c>
      <c r="AH13" s="899">
        <f t="shared" si="1"/>
        <v>68</v>
      </c>
      <c r="AI13" s="899">
        <f t="shared" si="1"/>
        <v>0</v>
      </c>
      <c r="AJ13" s="899">
        <f t="shared" si="1"/>
        <v>0</v>
      </c>
      <c r="AK13" s="899">
        <f t="shared" si="1"/>
        <v>0</v>
      </c>
      <c r="AL13" s="899">
        <f t="shared" si="1"/>
        <v>0</v>
      </c>
      <c r="AM13" s="899">
        <f t="shared" si="1"/>
        <v>3120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241</v>
      </c>
      <c r="BD13" s="899">
        <f t="shared" si="1"/>
        <v>1191</v>
      </c>
      <c r="BE13" s="899">
        <f t="shared" si="1"/>
        <v>0</v>
      </c>
      <c r="BF13" s="899">
        <f t="shared" si="1"/>
        <v>0</v>
      </c>
      <c r="BG13" s="899">
        <f>IF(ISNUMBER(Datos!K13/Datos!J13),Datos!K13/Datos!J13," - ")</f>
        <v>0.80373831775700932</v>
      </c>
      <c r="BH13" s="903">
        <f>IF(ISNUMBER(((Datos!L13/Datos!K13)*11)/factor_trimestre),((Datos!L13/Datos!K13)*11)/factor_trimestre," - ")</f>
        <v>7.0410036719706248</v>
      </c>
      <c r="BI13" s="899">
        <f>IF(ISNUMBER('Resol  Asuntos'!D13/NºAsuntos!G13),'Resol  Asuntos'!D13/NºAsuntos!G13," - ")</f>
        <v>0.14353782013103036</v>
      </c>
      <c r="BJ13" s="899" t="str">
        <f>IF(ISNUMBER(Datos!CI13/Datos!CJ13),Datos!CI13/Datos!CJ13," - ")</f>
        <v xml:space="preserve"> - </v>
      </c>
      <c r="BK13" s="899">
        <f>SUBTOTAL(9,BK8:BK12)</f>
        <v>0</v>
      </c>
      <c r="BL13" s="899">
        <f>IF(ISNUMBER((I13-AB13+L13)/(F13)),(I13-AB13+L13)/(F13)," - ")</f>
        <v>-0.30555555555555558</v>
      </c>
      <c r="BM13" s="904">
        <f>SUBTOTAL(9,BM9:BM12)</f>
        <v>-2.8552704709288338E-2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884</v>
      </c>
      <c r="G16" s="598">
        <f>IF(ISNUMBER(IF(D_I="SI",Datos!I16,Datos!I16+Datos!AC16)),IF(D_I="SI",Datos!I16,Datos!I16+Datos!AC16)," - ")</f>
        <v>853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1407</v>
      </c>
      <c r="AC16" s="226">
        <f>IF(ISNUMBER(Datos!Q16),Datos!Q16," - ")</f>
        <v>48</v>
      </c>
      <c r="AD16" s="334"/>
      <c r="AE16" s="484"/>
      <c r="AF16" s="596">
        <f>IF(ISNUMBER(IF(D_I="SI",Datos!L16,Datos!L16+Datos!AF16)),IF(D_I="SI",Datos!L16,Datos!L16+Datos!AF16)," - ")</f>
        <v>803</v>
      </c>
      <c r="AG16" s="334"/>
      <c r="AH16" s="334"/>
      <c r="AI16" s="334"/>
      <c r="AJ16" s="334"/>
      <c r="AK16" s="334"/>
      <c r="AL16" s="479"/>
      <c r="AM16" s="335">
        <f>IF(ISNUMBER(Datos!R16),Datos!R16," - ")</f>
        <v>128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85</v>
      </c>
      <c r="BD16" s="229">
        <f>IF(ISNUMBER(Datos!N16),Datos!N16," - ")</f>
        <v>1025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1.0610859728506787</v>
      </c>
      <c r="BH16" s="260">
        <f>IF(ISNUMBER(((IF(D_I="SI",Datos!L16/Datos!K16,(Datos!L16+Datos!AF16)/(Datos!K16+Datos!AE16)))*11)/factor_trimestre),((IF(D_I="SI",Datos!L16/Datos!K16,(Datos!L16+Datos!AF16)/(Datos!K16+Datos!AE16)))*11)/factor_trimestre," - ")</f>
        <v>1.7121535181236673</v>
      </c>
      <c r="BI16" s="243">
        <f>IF(ISNUMBER('Resol  Asuntos'!D16/NºAsuntos!G16),'Resol  Asuntos'!D16/NºAsuntos!G16," - ")</f>
        <v>6.041222459132907E-2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124</v>
      </c>
      <c r="AC17" s="226">
        <f>IF(ISNUMBER(Datos!Q17),Datos!Q17," - ")</f>
        <v>0</v>
      </c>
      <c r="AD17" s="334"/>
      <c r="AE17" s="484"/>
      <c r="AF17" s="332">
        <f>IF(ISNUMBER(Datos!L17),Datos!L17,"-")</f>
        <v>39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v>
      </c>
      <c r="BD17" s="229">
        <f>IF(ISNUMBER(Datos!N17),Datos!N17," - ")</f>
        <v>87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1.2156862745098038</v>
      </c>
      <c r="BH17" s="260">
        <f>IF(ISNUMBER(((IF(D_I="SI",Datos!L17/Datos!K17,(Datos!L17+Datos!AF17)/(Datos!K17+Datos!AE17)))*11)/factor_trimestre),((IF(D_I="SI",Datos!L17/Datos!K17,(Datos!L17+Datos!AF17)/(Datos!K17+Datos!AE17)))*11)/factor_trimestre," - ")</f>
        <v>0.94354838709677413</v>
      </c>
      <c r="BI17" s="243">
        <f>IF(ISNUMBER('Resol  Asuntos'!D17/NºAsuntos!G17),'Resol  Asuntos'!D17/NºAsuntos!G17," - ")</f>
        <v>4.0322580645161289E-2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884</v>
      </c>
      <c r="G18" s="898">
        <f>SUBTOTAL(9,G15:G17)</f>
        <v>913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1531</v>
      </c>
      <c r="AC18" s="899">
        <f t="shared" si="4"/>
        <v>48</v>
      </c>
      <c r="AD18" s="899">
        <f t="shared" si="4"/>
        <v>0</v>
      </c>
      <c r="AE18" s="899">
        <f t="shared" si="4"/>
        <v>0</v>
      </c>
      <c r="AF18" s="899">
        <f t="shared" si="4"/>
        <v>842</v>
      </c>
      <c r="AG18" s="899">
        <f t="shared" si="4"/>
        <v>0</v>
      </c>
      <c r="AH18" s="899">
        <f t="shared" si="4"/>
        <v>0</v>
      </c>
      <c r="AI18" s="899">
        <f t="shared" si="4"/>
        <v>0</v>
      </c>
      <c r="AJ18" s="899">
        <f t="shared" si="4"/>
        <v>0</v>
      </c>
      <c r="AK18" s="899">
        <f t="shared" si="4"/>
        <v>0</v>
      </c>
      <c r="AL18" s="899">
        <f t="shared" si="4"/>
        <v>0</v>
      </c>
      <c r="AM18" s="899">
        <f t="shared" si="4"/>
        <v>128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90</v>
      </c>
      <c r="BD18" s="899">
        <f t="shared" si="4"/>
        <v>1112</v>
      </c>
      <c r="BE18" s="899">
        <f t="shared" si="4"/>
        <v>0</v>
      </c>
      <c r="BF18" s="899">
        <f t="shared" si="4"/>
        <v>0</v>
      </c>
      <c r="BG18" s="899">
        <f>IF(ISNUMBER(Datos!K18/Datos!J18),Datos!K18/Datos!J18," - ")</f>
        <v>1.0721288515406162</v>
      </c>
      <c r="BH18" s="903">
        <f>IF(ISNUMBER(((Datos!L18/Datos!K18)*11)/factor_trimestre),((Datos!L18/Datos!K18)*11)/factor_trimestre," - ")</f>
        <v>1.6499020248203788</v>
      </c>
      <c r="BI18" s="899">
        <f>SUBTOTAL(9,BI15:BI17)</f>
        <v>0.10073480523649037</v>
      </c>
      <c r="BJ18" s="899">
        <f>SUBTOTAL(9,BJ15:BJ17)</f>
        <v>0</v>
      </c>
      <c r="BK18" s="899">
        <f>SUBTOTAL(9,BK15:BK17)</f>
        <v>0</v>
      </c>
      <c r="BL18" s="899">
        <f>IF(ISNUMBER((I18-AB18+L18)/(F18)),(I18-AB18+L18)/(F18)," - ")</f>
        <v>-1.7319004524886878</v>
      </c>
      <c r="BM18" s="905">
        <f>IF(ISNUMBER((Datos!P18-Datos!Q18)/(Datos!R18-Datos!P18+Datos!Q18)),(Datos!P18-Datos!Q18)/(Datos!R18-Datos!P18+Datos!Q18)," - ")</f>
        <v>-0.1111111111111111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920</v>
      </c>
      <c r="G19" s="820">
        <f t="shared" si="6"/>
        <v>949</v>
      </c>
      <c r="H19" s="822">
        <f t="shared" si="6"/>
        <v>0</v>
      </c>
      <c r="I19" s="820">
        <f t="shared" si="6"/>
        <v>0</v>
      </c>
      <c r="J19" s="822">
        <f t="shared" si="6"/>
        <v>0</v>
      </c>
      <c r="K19" s="822">
        <f t="shared" si="6"/>
        <v>0</v>
      </c>
      <c r="L19" s="881">
        <f t="shared" si="6"/>
        <v>0</v>
      </c>
      <c r="M19" s="881">
        <f t="shared" si="6"/>
        <v>0</v>
      </c>
      <c r="N19" s="881">
        <f t="shared" si="6"/>
        <v>39</v>
      </c>
      <c r="O19" s="881">
        <f t="shared" si="6"/>
        <v>0</v>
      </c>
      <c r="P19" s="881">
        <f t="shared" si="6"/>
        <v>0</v>
      </c>
      <c r="Q19" s="822">
        <f t="shared" si="6"/>
        <v>167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1542</v>
      </c>
      <c r="AC19" s="821">
        <f t="shared" si="7"/>
        <v>193</v>
      </c>
      <c r="AD19" s="821">
        <f t="shared" si="7"/>
        <v>0</v>
      </c>
      <c r="AE19" s="821">
        <f t="shared" si="7"/>
        <v>0</v>
      </c>
      <c r="AF19" s="828">
        <f t="shared" si="7"/>
        <v>874</v>
      </c>
      <c r="AG19" s="828">
        <f t="shared" si="7"/>
        <v>0</v>
      </c>
      <c r="AH19" s="828">
        <f t="shared" si="7"/>
        <v>68</v>
      </c>
      <c r="AI19" s="828">
        <f t="shared" si="7"/>
        <v>0</v>
      </c>
      <c r="AJ19" s="821">
        <f t="shared" si="7"/>
        <v>0</v>
      </c>
      <c r="AK19" s="828">
        <f t="shared" si="7"/>
        <v>0</v>
      </c>
      <c r="AL19" s="828">
        <f t="shared" si="7"/>
        <v>0</v>
      </c>
      <c r="AM19" s="828">
        <f t="shared" si="7"/>
        <v>3248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331</v>
      </c>
      <c r="BD19" s="820">
        <f t="shared" si="7"/>
        <v>2303</v>
      </c>
      <c r="BE19" s="820">
        <f t="shared" si="7"/>
        <v>0</v>
      </c>
      <c r="BF19" s="830">
        <f t="shared" si="7"/>
        <v>0</v>
      </c>
      <c r="BG19" s="915">
        <f>IF(ISNUMBER(Datos!K19/Datos!J19),Datos!K19/Datos!J19," - ")</f>
        <v>0.91447558509101412</v>
      </c>
      <c r="BH19" s="915">
        <f>IF(ISNUMBER(((Datos!L19/Datos!K19)*11)/factor_trimestre),((Datos!L19/Datos!K19)*11)/factor_trimestre," - ")</f>
        <v>4.4331753554502376</v>
      </c>
      <c r="BI19" s="813">
        <f>IF(ISNUMBER(Datos!J19/Datos!I19),Datos!J19/Datos!I19," - ")</f>
        <v>0.79289805269186708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-1.6760869565217391</v>
      </c>
      <c r="BM19" s="889">
        <f>IF(ISNUMBER((Datos!P19-Datos!Q19+R19)/(Datos!R19-Datos!P19+Datos!Q19-R19)),(Datos!P19-Datos!Q19+R19)/(Datos!R19-Datos!P19+Datos!Q19-R19)," - ")</f>
        <v>-7.9413561392791699E-3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379.6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489.59302827280266</v>
      </c>
      <c r="G21" s="552">
        <f>IF(ISNUMBER(STDEV(G8:G18)),STDEV(G8:G18),"-")</f>
        <v>460.13291557983547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780.54737204092874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105.93520031918884</v>
      </c>
      <c r="BD21" s="551"/>
      <c r="BE21" s="551">
        <f>IF(ISNUMBER(STDEV(BE8:BE18)),STDEV(BE8:BE18),"-")</f>
        <v>0</v>
      </c>
      <c r="BF21" s="556">
        <f>IF(ISNUMBER(STDEV(BF8:BF18)),STDEV(BF8:BF18),"-")</f>
        <v>0</v>
      </c>
      <c r="BG21" s="775">
        <f>IF(ISNUMBER(STDEV(BG8:BG18)),STDEV(BG8:BG18),"-")</f>
        <v>0.28647044655238313</v>
      </c>
      <c r="BH21" s="776">
        <f>IF(ISNUMBER(STDEV(BH8:BH18)),STDEV(BH8:BH18),"-")</f>
        <v>3.4331440176148242</v>
      </c>
      <c r="BI21" s="249">
        <f>IF(ISNUMBER(STDEV(BI8:BI18)),STDEV(BI8:BI18),"-")</f>
        <v>4.5711495239035206E-2</v>
      </c>
      <c r="BJ21" s="230" t="str">
        <f>IF(ISNUMBER(BL21/BM21),BL21/BM21," - ")</f>
        <v xml:space="preserve"> - </v>
      </c>
      <c r="BK21" s="575"/>
      <c r="BL21" s="559">
        <f>IF(ISNUMBER(STDEV(BL8:BL18)),STDEV(BL8:BL18),"-")</f>
        <v>1.0085781489322454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A1dhxON9Ipf7lW5I+m3yTtQSKU/tKF14hnEF+fwYZr7pBHmPdDhnlKvWli96kjy7mjlha3I2Zi6kQRFyp97XFQ==" saltValue="et2hcW2SNZ5mJfK9PYIkV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ARANJUEZ</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36</v>
      </c>
      <c r="G10" s="225">
        <f>IF(ISNUMBER(Datos!I10),Datos!I10," - ")</f>
        <v>36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7</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11</v>
      </c>
      <c r="Z10" s="619">
        <f>IF(ISNUMBER(Datos!Q10),Datos!Q10," - ")</f>
        <v>8</v>
      </c>
      <c r="AA10" s="332">
        <f>IF(ISNUMBER(Datos!L10),Datos!L10,"-")</f>
        <v>32</v>
      </c>
      <c r="AB10" s="334"/>
      <c r="AC10" s="334"/>
      <c r="AD10" s="484"/>
      <c r="AE10" s="484">
        <f>IF(ISNUMBER(Datos!R10),Datos!R10," - ")</f>
        <v>38</v>
      </c>
      <c r="AF10" s="229" t="str">
        <f>IF(ISNUMBER(Datos!BV10),Datos!BV10," - ")</f>
        <v xml:space="preserve"> - </v>
      </c>
      <c r="AG10" s="225" t="str">
        <f>IF(ISNUMBER(Datos!DV10),Datos!DV10," - ")</f>
        <v xml:space="preserve"> - </v>
      </c>
      <c r="AH10" s="298"/>
      <c r="AI10" s="227"/>
      <c r="AJ10" s="225">
        <f>IF(ISNUMBER(Datos!M10),Datos!M10," - ")</f>
        <v>5</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8.7272727272727284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-2.564102564102564E-2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128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137</v>
      </c>
      <c r="AA12" s="332" t="str">
        <f>IF(ISNUMBER(IF(J_V="SI",Datos!L12,Datos!L12+Datos!AB12)-IF(Monitorios="SI",Datos!CD12,0)),
                          IF(J_V="SI",Datos!L12,Datos!L12+Datos!AB12)-IF(Monitorios="SI",Datos!CD12,0),
                          " - ")</f>
        <v xml:space="preserve"> - </v>
      </c>
      <c r="AB12" s="334"/>
      <c r="AC12" s="334"/>
      <c r="AD12" s="484"/>
      <c r="AE12" s="484">
        <f>IF(ISNUMBER(Datos!R12),Datos!R12," - ")</f>
        <v>3082</v>
      </c>
      <c r="AF12" s="229" t="str">
        <f>IF(ISNUMBER(Datos!BV12),Datos!BV12," - ")</f>
        <v xml:space="preserve"> - </v>
      </c>
      <c r="AG12" s="225" t="str">
        <f>IF(ISNUMBER(Datos!DV12),Datos!DV12," - ")</f>
        <v xml:space="preserve"> - </v>
      </c>
      <c r="AH12" s="298"/>
      <c r="AI12" s="227"/>
      <c r="AJ12" s="225">
        <f>IF(ISNUMBER(Datos!M12),Datos!M12," - ")</f>
        <v>236</v>
      </c>
      <c r="AK12" s="229">
        <f>IF(ISNUMBER(Datos!N12),Datos!N12," - ")</f>
        <v>1191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6.962230215827339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-2.9116790682626984E-3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36</v>
      </c>
      <c r="G13" s="898">
        <f>SUBTOTAL(9,G8:G12)</f>
        <v>36</v>
      </c>
      <c r="H13" s="908"/>
      <c r="I13" s="898">
        <f t="shared" ref="I13:N13" si="0">SUBTOTAL(9,I8:I12)</f>
        <v>0</v>
      </c>
      <c r="J13" s="867">
        <f t="shared" si="0"/>
        <v>0</v>
      </c>
      <c r="K13" s="908">
        <f t="shared" si="0"/>
        <v>0</v>
      </c>
      <c r="L13" s="908">
        <f t="shared" si="0"/>
        <v>0</v>
      </c>
      <c r="M13" s="908">
        <f t="shared" si="0"/>
        <v>0</v>
      </c>
      <c r="N13" s="908">
        <f t="shared" si="0"/>
        <v>135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11</v>
      </c>
      <c r="Z13" s="907">
        <f t="shared" si="2"/>
        <v>145</v>
      </c>
      <c r="AA13" s="900">
        <f t="shared" si="2"/>
        <v>32</v>
      </c>
      <c r="AB13" s="900">
        <f t="shared" si="2"/>
        <v>0</v>
      </c>
      <c r="AC13" s="900">
        <f t="shared" si="2"/>
        <v>0</v>
      </c>
      <c r="AD13" s="900">
        <f t="shared" si="2"/>
        <v>0</v>
      </c>
      <c r="AE13" s="900">
        <f t="shared" si="2"/>
        <v>3120</v>
      </c>
      <c r="AF13" s="908">
        <f t="shared" si="2"/>
        <v>0</v>
      </c>
      <c r="AG13" s="908">
        <f t="shared" si="2"/>
        <v>0</v>
      </c>
      <c r="AH13" s="908">
        <f t="shared" si="2"/>
        <v>0</v>
      </c>
      <c r="AI13" s="908">
        <f t="shared" si="2"/>
        <v>0</v>
      </c>
      <c r="AJ13" s="908">
        <f t="shared" si="2"/>
        <v>241</v>
      </c>
      <c r="AK13" s="908">
        <f t="shared" si="2"/>
        <v>1191</v>
      </c>
      <c r="AL13" s="908">
        <f t="shared" si="2"/>
        <v>0</v>
      </c>
      <c r="AM13" s="908">
        <f t="shared" si="2"/>
        <v>0</v>
      </c>
      <c r="AN13" s="908">
        <f t="shared" si="2"/>
        <v>0</v>
      </c>
      <c r="AO13" s="904">
        <f>IF(ISNUMBER(((NºAsuntos!I13/NºAsuntos!G13)*11)/factor_trimestre),((NºAsuntos!I13/NºAsuntos!G13)*11)/factor_trimestre," - ")</f>
        <v>6.9737939249553307</v>
      </c>
      <c r="AP13" s="910" t="str">
        <f>IF(ISNUMBER(Datos!CI13/Datos!CJ13),Datos!CI13/Datos!CJ13," - ")</f>
        <v xml:space="preserve"> - </v>
      </c>
      <c r="AQ13" s="928">
        <f t="shared" ref="AQ13:AV13" si="3">SUBTOTAL(9,AQ9:AQ12)</f>
        <v>0</v>
      </c>
      <c r="AR13" s="928">
        <f t="shared" si="3"/>
        <v>-2.8552704709288338E-2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884</v>
      </c>
      <c r="G16" s="225">
        <f>IF(ISNUMBER(IF(D_I="SI",Datos!I16,Datos!I16+Datos!AC16)),IF(D_I="SI",Datos!I16,Datos!I16+Datos!AC16)," - ")</f>
        <v>853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1407</v>
      </c>
      <c r="Z16" s="619">
        <f>IF(ISNUMBER(Datos!Q16),Datos!Q16," - ")</f>
        <v>48</v>
      </c>
      <c r="AA16" s="332">
        <f>IF(ISNUMBER(IF(D_I="SI",Datos!L16,Datos!L16+Datos!AF16)),IF(D_I="SI",Datos!L16,Datos!L16+Datos!AF16)," - ")</f>
        <v>803</v>
      </c>
      <c r="AB16" s="334"/>
      <c r="AC16" s="334"/>
      <c r="AD16" s="484"/>
      <c r="AE16" s="484">
        <f>IF(ISNUMBER(Datos!R16),Datos!R16," - ")</f>
        <v>128</v>
      </c>
      <c r="AF16" s="229" t="str">
        <f>IF(ISNUMBER(Datos!BV16),Datos!BV16," - ")</f>
        <v xml:space="preserve"> - </v>
      </c>
      <c r="AG16" s="225"/>
      <c r="AH16" s="298"/>
      <c r="AI16" s="227"/>
      <c r="AJ16" s="225">
        <f>IF(ISNUMBER(Datos!M16),Datos!M16," - ")</f>
        <v>85</v>
      </c>
      <c r="AK16" s="229">
        <f>IF(ISNUMBER(Datos!N16),Datos!N16," - ")</f>
        <v>1025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1.7121535181236673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124</v>
      </c>
      <c r="Z17" s="619">
        <f>IF(ISNUMBER(Datos!Q17),Datos!Q17," - ")</f>
        <v>0</v>
      </c>
      <c r="AA17" s="332">
        <f>IF(ISNUMBER(Datos!L17),Datos!L17,"-")</f>
        <v>39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5</v>
      </c>
      <c r="AK17" s="229">
        <f>IF(ISNUMBER(Datos!N17),Datos!N17," - ")</f>
        <v>87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0.94354838709677413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884</v>
      </c>
      <c r="G18" s="898">
        <f>SUBTOTAL(9,G15:G17)</f>
        <v>913</v>
      </c>
      <c r="H18" s="932">
        <f>SUBTOTAL(9,H15:H17)</f>
        <v>0</v>
      </c>
      <c r="I18" s="911">
        <f>SUBTOTAL(9,I15:I17)</f>
        <v>0</v>
      </c>
      <c r="J18" s="867">
        <f>SUBTOTAL(9,J14:J17)</f>
        <v>0</v>
      </c>
      <c r="K18" s="932">
        <f t="shared" ref="K18:S18" si="4">SUBTOTAL(9,K15:K17)</f>
        <v>0</v>
      </c>
      <c r="L18" s="932">
        <f t="shared" si="4"/>
        <v>0</v>
      </c>
      <c r="M18" s="932">
        <f t="shared" si="4"/>
        <v>0</v>
      </c>
      <c r="N18" s="932">
        <f t="shared" si="4"/>
        <v>32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1531</v>
      </c>
      <c r="Z18" s="932">
        <f t="shared" si="5"/>
        <v>48</v>
      </c>
      <c r="AA18" s="932">
        <f t="shared" si="5"/>
        <v>842</v>
      </c>
      <c r="AB18" s="932">
        <f t="shared" si="5"/>
        <v>0</v>
      </c>
      <c r="AC18" s="932">
        <f t="shared" si="5"/>
        <v>0</v>
      </c>
      <c r="AD18" s="932">
        <f t="shared" si="5"/>
        <v>0</v>
      </c>
      <c r="AE18" s="932">
        <f t="shared" si="5"/>
        <v>128</v>
      </c>
      <c r="AF18" s="932">
        <f t="shared" si="5"/>
        <v>0</v>
      </c>
      <c r="AG18" s="932">
        <f t="shared" si="5"/>
        <v>0</v>
      </c>
      <c r="AH18" s="932">
        <f t="shared" si="5"/>
        <v>0</v>
      </c>
      <c r="AI18" s="932">
        <f t="shared" si="5"/>
        <v>0</v>
      </c>
      <c r="AJ18" s="932">
        <f t="shared" si="5"/>
        <v>90</v>
      </c>
      <c r="AK18" s="932">
        <f t="shared" si="5"/>
        <v>1112</v>
      </c>
      <c r="AL18" s="932">
        <f t="shared" si="5"/>
        <v>0</v>
      </c>
      <c r="AM18" s="932">
        <f t="shared" si="5"/>
        <v>0</v>
      </c>
      <c r="AN18" s="932">
        <f t="shared" si="5"/>
        <v>0</v>
      </c>
      <c r="AO18" s="934">
        <f>IF(ISNUMBER(((NºAsuntos!I18/NºAsuntos!G18)*11)/factor_trimestre),((NºAsuntos!I18/NºAsuntos!G18)*11)/factor_trimestre," - ")</f>
        <v>1.6499020248203788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920</v>
      </c>
      <c r="G19" s="820">
        <f t="shared" si="7"/>
        <v>949</v>
      </c>
      <c r="H19" s="821">
        <f t="shared" si="7"/>
        <v>0</v>
      </c>
      <c r="I19" s="820">
        <f t="shared" si="7"/>
        <v>0</v>
      </c>
      <c r="J19" s="822">
        <f t="shared" si="7"/>
        <v>0</v>
      </c>
      <c r="K19" s="820">
        <f t="shared" si="7"/>
        <v>0</v>
      </c>
      <c r="L19" s="823">
        <f t="shared" si="7"/>
        <v>0</v>
      </c>
      <c r="M19" s="820">
        <f t="shared" si="7"/>
        <v>0</v>
      </c>
      <c r="N19" s="821">
        <f t="shared" si="7"/>
        <v>167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1542</v>
      </c>
      <c r="Z19" s="827">
        <f t="shared" si="8"/>
        <v>193</v>
      </c>
      <c r="AA19" s="828">
        <f t="shared" si="8"/>
        <v>874</v>
      </c>
      <c r="AB19" s="828">
        <f t="shared" si="8"/>
        <v>0</v>
      </c>
      <c r="AC19" s="828">
        <f t="shared" si="8"/>
        <v>0</v>
      </c>
      <c r="AD19" s="829">
        <f t="shared" si="8"/>
        <v>0</v>
      </c>
      <c r="AE19" s="829">
        <f t="shared" si="8"/>
        <v>3248</v>
      </c>
      <c r="AF19" s="830">
        <f t="shared" si="8"/>
        <v>0</v>
      </c>
      <c r="AG19" s="831">
        <f t="shared" si="8"/>
        <v>0</v>
      </c>
      <c r="AH19" s="832">
        <f t="shared" si="8"/>
        <v>0</v>
      </c>
      <c r="AI19" s="830">
        <f t="shared" si="8"/>
        <v>0</v>
      </c>
      <c r="AJ19" s="820">
        <f t="shared" si="8"/>
        <v>331</v>
      </c>
      <c r="AK19" s="820">
        <f t="shared" si="8"/>
        <v>2303</v>
      </c>
      <c r="AL19" s="820">
        <f t="shared" si="8"/>
        <v>0</v>
      </c>
      <c r="AM19" s="833">
        <f t="shared" si="8"/>
        <v>0</v>
      </c>
      <c r="AN19" s="823">
        <f>IF(ISNUMBER(Datos!K19/Datos!J19),Datos!K19/Datos!J19," - ")</f>
        <v>0.91447558509101412</v>
      </c>
      <c r="AO19" s="823">
        <f>IF(ISNUMBER(FIND("06",Criterios!A8,1)),(IF(ISNUMBER(((Datos!R19/Datos!Q19)*11)/factor_trimestre),((Datos!R19/Datos!Q19)*11)/factor_trimestre," - ")),(IF(ISNUMBER(((Datos!L19/Datos!K19)*11)/factor_trimestre),((Datos!L19/Datos!K19)*11)/factor_trimestre," - ")))</f>
        <v>4.4331753554502376</v>
      </c>
      <c r="AP19" s="834" t="str">
        <f>IF(ISNUMBER(Datos!CI19/Datos!CJ19),Datos!CI19/Datos!CJ19," - ")</f>
        <v xml:space="preserve"> - </v>
      </c>
      <c r="AQ19" s="834">
        <f>IF(OR(ISNUMBER(FIND("01",Criterios!A8,1)),ISNUMBER(FIND("02",Criterios!A8,1)),ISNUMBER(FIND("03",Criterios!A8,1)),ISNUMBER(FIND("04",Criterios!A8,1))),(J19-Y19+K19)/(F19-K19),(I19-Y19+K19)/(F19-K19))</f>
        <v>-1.6760869565217391</v>
      </c>
      <c r="AR19" s="834">
        <f>IF(ISNUMBER((Datos!P19-Datos!Q19+O19)/(Datos!R19-Datos!P19+Datos!Q19-O19)),(Datos!P19-Datos!Q19+O19)/(Datos!R19-Datos!P19+Datos!Q19-O19)," - ")</f>
        <v>-7.9413561392791699E-3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379.6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489.59302827280266</v>
      </c>
      <c r="G21" s="552">
        <f>IF(ISNUMBER(STDEV(G8:G18)),STDEV(G8:G18),"-")</f>
        <v>460.13291557983547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105.93520031918884</v>
      </c>
      <c r="AK21" s="252"/>
      <c r="AL21" s="252">
        <f>IF(ISNUMBER(STDEV(AL8:AL18)),STDEV(AL8:AL18),"-")</f>
        <v>0</v>
      </c>
      <c r="AM21" s="254">
        <f>IF(ISNUMBER(STDEV(AM8:AM18)),STDEV(AM8:AM18),"-")</f>
        <v>0</v>
      </c>
      <c r="AN21" s="539">
        <f>IF(ISNUMBER(STDEV(AN8:AN18)),STDEV(AN8:AN18),"-")</f>
        <v>0</v>
      </c>
      <c r="AO21" s="540">
        <f>IF(ISNUMBER(STDEV(AO8:AO18)),STDEV(AO8:AO18),"-")</f>
        <v>3.4233142445818459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u254MpVVKKEeMBRmp5+i1lhJzck1aLXG+5aYGUfpZP2mhT54daHhpCbs7qAyM2oXmCNMYs2h0MEA9BQ5h56j8w==" saltValue="AA18FoL0cnMO/jagaNYxk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8rVX3QPKpJvlh7/yFqH/Mi/2e+fNxrvkH4joES6BRJOI8I/IvgcgWErDE1AT66inPZ4JFAhZKHQEFhsP615Z0A==" saltValue="wMV5YJdTvE1I30fHb7KaC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OESbXINu/FMKhUU7MsP4yru5FO/pQvI+byiVNXoArlHqipIj7jXPC6Q7+/Ft2Wl9yYulRWNVxEdOOuIIKhWpw==" saltValue="RquYwn/0sT1xXJ1q0eGPq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ARANJUEZ</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0.14353782013103036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0.10149656597138651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h6JPUXWNZLOvXO3LnDpoGfH/OVH6/1bm+ML0iH8wDkulzkvFTKntIkavdt1MqiMeThVw8H5ru05X6YnqGsEPzg==" saltValue="4G9tPi7zlTeniOkgZ64EA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n/CPO3QrRc0KY38Bz9D6hXGlhlPh9p1zorIytez0RiPCqYA6FFZ1hLDrjbX8zKQR636yaHonUgYZ9LEKSmx8Gg==" saltValue="3cNexEkwdAe2K07c4Dq41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ARANJUEZ</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36</v>
      </c>
      <c r="D10" s="404">
        <f>IF(ISNUMBER(C10/Datos!BH10),C10/Datos!BH10," - ")</f>
        <v>36</v>
      </c>
      <c r="E10" s="403">
        <f>IF(ISNUMBER(Datos!J10),Datos!J10," - ")</f>
        <v>7</v>
      </c>
      <c r="F10" s="404">
        <f>IF(ISNUMBER(E10/B10),E10/B10," - ")</f>
        <v>7</v>
      </c>
      <c r="G10" s="403">
        <f>IF(ISNUMBER(Datos!K10),Datos!K10," - ")</f>
        <v>11</v>
      </c>
      <c r="H10" s="404">
        <f>IF(ISNUMBER(G10/B10),G10/B10," - ")</f>
        <v>11</v>
      </c>
      <c r="I10" s="403">
        <f>IF(ISNUMBER(Datos!L10),Datos!L10," - ")</f>
        <v>32</v>
      </c>
      <c r="J10" s="404">
        <f>IF(ISNUMBER(I10/B10),I10/B10," - ")</f>
        <v>32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3490</v>
      </c>
      <c r="D12" s="404">
        <f>IF(ISNUMBER(C12/Datos!BH12),C12/Datos!BH12," - ")</f>
        <v>872.5</v>
      </c>
      <c r="E12" s="403">
        <f>IF(ISNUMBER(IF(J_V="SI",Datos!J12,Datos!J12+Datos!Z12)),IF(J_V="SI",Datos!J12,Datos!J12+Datos!Z12)," - ")</f>
        <v>2065</v>
      </c>
      <c r="F12" s="404">
        <f>IF(ISNUMBER(E12/B12),E12/B12," - ")</f>
        <v>516.25</v>
      </c>
      <c r="G12" s="403">
        <f>IF(ISNUMBER(IF(J_V="SI",Datos!K12,Datos!K12+Datos!AA12)),IF(J_V="SI",Datos!K12,Datos!K12+Datos!AA12)," - ")</f>
        <v>1668</v>
      </c>
      <c r="H12" s="404">
        <f>IF(ISNUMBER(G12/B12),G12/B12," - ")</f>
        <v>417</v>
      </c>
      <c r="I12" s="403">
        <f>IF(ISNUMBER(IF(J_V="SI",Datos!L12,Datos!L12+Datos!AB12)),IF(J_V="SI",Datos!L12,Datos!L12+Datos!AB12)," - ")</f>
        <v>3871</v>
      </c>
      <c r="J12" s="404">
        <f>IF(ISNUMBER(I12/B12),I12/B12," - ")</f>
        <v>967.75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3526</v>
      </c>
      <c r="D13" s="850" t="str">
        <f>IF(ISNUMBER(C13/Datos!BI13),C13/Datos!BI13," - ")</f>
        <v xml:space="preserve"> - </v>
      </c>
      <c r="E13" s="849">
        <f>SUBTOTAL(9,E8:E12)</f>
        <v>2072</v>
      </c>
      <c r="F13" s="850">
        <f>IF(ISNUMBER(E13/B13),E13/B13," - ")</f>
        <v>518</v>
      </c>
      <c r="G13" s="849">
        <f>SUBTOTAL(9,G8:G12)</f>
        <v>1679</v>
      </c>
      <c r="H13" s="850">
        <f>IF(ISNUMBER(G13/B13),G13/B13," - ")</f>
        <v>419.75</v>
      </c>
      <c r="I13" s="849">
        <f>SUBTOTAL(9,I8:I12)</f>
        <v>3903</v>
      </c>
      <c r="J13" s="850">
        <f>IF(ISNUMBER(I13/B13),I13/B13," - ")</f>
        <v>975.75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853</v>
      </c>
      <c r="D16" s="404">
        <f>IF(ISNUMBER(C16/Datos!BH16),C16/Datos!BH16," - ")</f>
        <v>213.25</v>
      </c>
      <c r="E16" s="403">
        <f>IF(ISNUMBER(IF(D_I="SI",Datos!J16,Datos!J16+Datos!AD16)),IF(D_I="SI",Datos!J16,Datos!J16+Datos!AD16)," - ")</f>
        <v>1326</v>
      </c>
      <c r="F16" s="404">
        <f>IF(ISNUMBER(E16/B16),E16/B16," - ")</f>
        <v>331.5</v>
      </c>
      <c r="G16" s="403">
        <f>IF(ISNUMBER(IF(D_I="SI",Datos!K16,Datos!K16+Datos!AE16)),IF(D_I="SI",Datos!K16,Datos!K16+Datos!AE16)," - ")</f>
        <v>1407</v>
      </c>
      <c r="H16" s="404">
        <f>IF(ISNUMBER(G16/B16),G16/B16," - ")</f>
        <v>351.75</v>
      </c>
      <c r="I16" s="403">
        <f>IF(ISNUMBER(IF(D_I="SI",Datos!L16,Datos!L16+Datos!AF16)),IF(D_I="SI",Datos!L16,Datos!L16+Datos!AF16)," - ")</f>
        <v>803</v>
      </c>
      <c r="J16" s="404">
        <f>IF(ISNUMBER(I16/B16),I16/B16," - ")</f>
        <v>200.75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60</v>
      </c>
      <c r="D17" s="404">
        <f>IF(ISNUMBER(C17/Datos!BH17),C17/Datos!BH17," - ")</f>
        <v>60</v>
      </c>
      <c r="E17" s="403">
        <f>IF(ISNUMBER(IF(D_I="SI",Datos!J17,Datos!J17+Datos!AD17)),IF(D_I="SI",Datos!J17,Datos!J17+Datos!AD17)," - ")</f>
        <v>102</v>
      </c>
      <c r="F17" s="404">
        <f>IF(ISNUMBER(E17/B17),E17/B17," - ")</f>
        <v>102</v>
      </c>
      <c r="G17" s="403">
        <f>IF(ISNUMBER(IF(D_I="SI",Datos!K17,Datos!K17+Datos!AE17)),IF(D_I="SI",Datos!K17,Datos!K17+Datos!AE17)," - ")</f>
        <v>124</v>
      </c>
      <c r="H17" s="404">
        <f>IF(ISNUMBER(G17/B17),G17/B17," - ")</f>
        <v>124</v>
      </c>
      <c r="I17" s="403">
        <f>IF(ISNUMBER(IF(D_I="SI",Datos!L17,Datos!L17+Datos!AF17)),IF(D_I="SI",Datos!L17,Datos!L17+Datos!AF17)," - ")</f>
        <v>39</v>
      </c>
      <c r="J17" s="404">
        <f>IF(ISNUMBER(I17/B17),I17/B17," - ")</f>
        <v>39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913</v>
      </c>
      <c r="D18" s="850" t="str">
        <f>IF(ISNUMBER(C18/Datos!BI18),C18/Datos!BI18," - ")</f>
        <v xml:space="preserve"> - </v>
      </c>
      <c r="E18" s="849">
        <f>SUBTOTAL(9,E14:E17)</f>
        <v>1428</v>
      </c>
      <c r="F18" s="850">
        <f>IF(ISNUMBER(E18/B18),E18/B18," - ")</f>
        <v>357</v>
      </c>
      <c r="G18" s="849">
        <f>SUBTOTAL(9,G14:G17)</f>
        <v>1531</v>
      </c>
      <c r="H18" s="850">
        <f>IF(ISNUMBER(G18/B18),G18/B18," - ")</f>
        <v>382.75</v>
      </c>
      <c r="I18" s="849">
        <f>SUBTOTAL(9,I14:I17)</f>
        <v>842</v>
      </c>
      <c r="J18" s="850">
        <f>IF(ISNUMBER(I18/B18),I18/B18," - ")</f>
        <v>210.5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4439</v>
      </c>
      <c r="D19" s="795" t="str">
        <f>IF(ISNUMBER(C19/Datos!BI19),C19/Datos!BI19," - ")</f>
        <v xml:space="preserve"> - </v>
      </c>
      <c r="E19" s="794">
        <f>SUBTOTAL(9,E9:E18)</f>
        <v>3500</v>
      </c>
      <c r="F19" s="795">
        <f>IF(ISNUMBER(E19/B19),E19/B19," - ")</f>
        <v>875</v>
      </c>
      <c r="G19" s="794">
        <f>SUBTOTAL(9,G9:G18)</f>
        <v>3210</v>
      </c>
      <c r="H19" s="795">
        <f>IF(ISNUMBER(G19/B19),G19/B19," - ")</f>
        <v>802.5</v>
      </c>
      <c r="I19" s="794">
        <f>SUBTOTAL(9,I9:I18)</f>
        <v>4745</v>
      </c>
      <c r="J19" s="795">
        <f>IF(ISNUMBER(I19/B19),I19/B19," - ")</f>
        <v>1186.25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Iu9PubxQdjJeLzA8k4Ba11DBoo/6qQvySzZgOk74t2ahQHFswZmYd7muBIo4UtPCnoGqDtXA93lZyBr6SgesQ==" saltValue="xdRjHvAZ1y4SDWcMaGHqB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ARANJUEZ</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36</v>
      </c>
      <c r="G10" s="684">
        <f>IF(ISNUMBER(Datos!I10),Datos!I10," - ")</f>
        <v>36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7</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11</v>
      </c>
      <c r="AC10" s="683" t="str">
        <f>IF(ISNUMBER(IF(D_I="SI",DatosP!K17,DatosP!K17+DatosP!AE17)),IF(D_I="SI",DatosP!K17,DatosP!K17+DatosP!AE17)," - ")</f>
        <v xml:space="preserve"> - </v>
      </c>
      <c r="AD10" s="685"/>
      <c r="AE10" s="685"/>
      <c r="AF10" s="688">
        <f>IF(ISNUMBER(Datos!L10),Datos!L10,"-")</f>
        <v>32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8.7272727272727284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128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137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3082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236</v>
      </c>
      <c r="AM12" s="690">
        <f>IF(ISNUMBER(Datos!N12+DatosP!N16),Datos!N12+DatosP!N16," - ")</f>
        <v>1191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6.962230215827339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-2.9116790682626984E-3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36</v>
      </c>
      <c r="G13" s="938">
        <f t="shared" si="0"/>
        <v>36</v>
      </c>
      <c r="H13" s="938">
        <f t="shared" si="0"/>
        <v>0</v>
      </c>
      <c r="I13" s="940">
        <f t="shared" si="0"/>
        <v>0</v>
      </c>
      <c r="J13" s="939">
        <f t="shared" si="0"/>
        <v>0</v>
      </c>
      <c r="K13" s="939">
        <f t="shared" si="0"/>
        <v>0</v>
      </c>
      <c r="L13" s="941">
        <f t="shared" si="0"/>
        <v>0</v>
      </c>
      <c r="M13" s="941">
        <f t="shared" si="0"/>
        <v>0</v>
      </c>
      <c r="N13" s="939">
        <f t="shared" si="0"/>
        <v>135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11</v>
      </c>
      <c r="AC13" s="939">
        <f t="shared" si="1"/>
        <v>0</v>
      </c>
      <c r="AD13" s="939">
        <f t="shared" si="1"/>
        <v>137</v>
      </c>
      <c r="AE13" s="939">
        <f t="shared" si="1"/>
        <v>0</v>
      </c>
      <c r="AF13" s="939">
        <f t="shared" si="1"/>
        <v>32</v>
      </c>
      <c r="AG13" s="939">
        <f t="shared" si="1"/>
        <v>0</v>
      </c>
      <c r="AH13" s="939">
        <f t="shared" si="1"/>
        <v>3082</v>
      </c>
      <c r="AI13" s="939">
        <f t="shared" si="1"/>
        <v>0</v>
      </c>
      <c r="AJ13" s="939">
        <f t="shared" si="1"/>
        <v>0</v>
      </c>
      <c r="AK13" s="939">
        <f t="shared" si="1"/>
        <v>0</v>
      </c>
      <c r="AL13" s="939">
        <f t="shared" si="1"/>
        <v>241</v>
      </c>
      <c r="AM13" s="939">
        <f t="shared" si="1"/>
        <v>1191</v>
      </c>
      <c r="AN13" s="939">
        <f t="shared" si="1"/>
        <v>0</v>
      </c>
      <c r="AO13" s="939">
        <f t="shared" si="1"/>
        <v>0</v>
      </c>
      <c r="AP13" s="944">
        <f>IF(ISNUMBER(((Datos!L13/Datos!K13)*11)/factor_trimestre),((Datos!L13/Datos!K13)*11)/factor_trimestre," - ")</f>
        <v>7.0410036719706248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-0.30555555555555558</v>
      </c>
      <c r="AU13" s="939" t="str">
        <f>IF(ISNUMBER((DatosP!#REF!-DatosP!#REF!+DatosP!#REF!)/(DatosP!#REF!+DatosP!#REF!-DatosP!#REF!-DatosP!#REF!)),(DatosP!#REF!-DatosP!#REF!+DatosP!#REF!)/(DatosP!#REF!+DatosP!#REF!-DatosP!#REF!-DatosP!#REF!)," - ")</f>
        <v xml:space="preserve"> - </v>
      </c>
      <c r="AV13" s="945">
        <f>SUBTOTAL(9,AV9:AV12)</f>
        <v>-2.9116790682626984E-3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1.6499020248203788</v>
      </c>
      <c r="AQ18" s="944">
        <f>IF(ISNUMBER(((Datos!M18/Datos!L18)*11)/factor_trimestre),((Datos!M18/Datos!L18)*11)/factor_trimestre," - ")</f>
        <v>0.32066508313539194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-0.1111111111111111</v>
      </c>
      <c r="AW18" s="946">
        <f>IF(ISNUMBER((Datos!Q18-Datos!R18)/(Datos!S18-Datos!Q18+Datos!R18)),(Datos!Q18-Datos!R18)/(Datos!S18-Datos!Q18+Datos!R18)," - ")</f>
        <v>-8.1549439347604488E-2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36</v>
      </c>
      <c r="G19" s="951">
        <f t="shared" si="4"/>
        <v>36</v>
      </c>
      <c r="H19" s="951">
        <f t="shared" si="4"/>
        <v>0</v>
      </c>
      <c r="I19" s="952">
        <f t="shared" si="4"/>
        <v>0</v>
      </c>
      <c r="J19" s="953">
        <f t="shared" si="4"/>
        <v>0</v>
      </c>
      <c r="K19" s="953">
        <f t="shared" si="4"/>
        <v>0</v>
      </c>
      <c r="L19" s="953">
        <f t="shared" si="4"/>
        <v>0</v>
      </c>
      <c r="M19" s="953">
        <f t="shared" si="4"/>
        <v>0</v>
      </c>
      <c r="N19" s="952">
        <f t="shared" si="4"/>
        <v>135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11</v>
      </c>
      <c r="AC19" s="957">
        <f t="shared" si="5"/>
        <v>0</v>
      </c>
      <c r="AD19" s="957">
        <f t="shared" si="5"/>
        <v>137</v>
      </c>
      <c r="AE19" s="957">
        <f t="shared" si="5"/>
        <v>0</v>
      </c>
      <c r="AF19" s="958">
        <f t="shared" si="5"/>
        <v>32</v>
      </c>
      <c r="AG19" s="958">
        <f t="shared" si="5"/>
        <v>0</v>
      </c>
      <c r="AH19" s="958">
        <f t="shared" si="5"/>
        <v>3082</v>
      </c>
      <c r="AI19" s="958">
        <f t="shared" si="5"/>
        <v>0</v>
      </c>
      <c r="AJ19" s="959">
        <f t="shared" si="5"/>
        <v>0</v>
      </c>
      <c r="AK19" s="959">
        <f t="shared" si="5"/>
        <v>0</v>
      </c>
      <c r="AL19" s="951">
        <f t="shared" si="5"/>
        <v>241</v>
      </c>
      <c r="AM19" s="951">
        <f t="shared" si="5"/>
        <v>1191</v>
      </c>
      <c r="AN19" s="951">
        <f t="shared" si="5"/>
        <v>0</v>
      </c>
      <c r="AO19" s="951">
        <f t="shared" si="5"/>
        <v>0</v>
      </c>
      <c r="AP19" s="951">
        <f>IF(ISNUMBER(((Datos!L19/Datos!K19)*11)/factor_trimestre),((Datos!L19/Datos!K19)*11)/factor_trimestre," - ")</f>
        <v>4.4331753554502376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-0.30555555555555558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-7.9413561392791699E-3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20.784609690826528</v>
      </c>
      <c r="G21" s="737">
        <f>IF(ISNUMBER(STDEV(G8:G18)),STDEV(G8:G18),"-")</f>
        <v>20.784609690826528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6.3508529610858826</v>
      </c>
      <c r="AC21" s="738">
        <f>IF(ISNUMBER(STDEV(AC8:AC18)),STDEV(AC8:AC18),"-")</f>
        <v>0</v>
      </c>
      <c r="AD21" s="741"/>
      <c r="AE21" s="741"/>
      <c r="AF21" s="741"/>
      <c r="AG21" s="741"/>
      <c r="AH21" s="741"/>
      <c r="AI21" s="741"/>
      <c r="AJ21" s="742">
        <f>IF(ISNUMBER(STDEV(AJ8:AJ18)),STDEV(AJ8:AJ18),"-")</f>
        <v>0</v>
      </c>
      <c r="AK21" s="744"/>
      <c r="AL21" s="736">
        <f>IF(ISNUMBER(STDEV(AL8:AL18)),STDEV(AL8:AL18),"-")</f>
        <v>136.28524009101892</v>
      </c>
      <c r="AM21" s="736"/>
      <c r="AN21" s="736">
        <f>IF(ISNUMBER(STDEV(AN8:AN18)),STDEV(AN8:AN18),"-")</f>
        <v>0</v>
      </c>
      <c r="AO21" s="742">
        <f>IF(ISNUMBER(STDEV(AO8:AO18)),STDEV(AO8:AO18),"-")</f>
        <v>0</v>
      </c>
      <c r="AP21" s="779">
        <f>IF(ISNUMBER(STDEV(AP8:AP18)),STDEV(AP8:AP18),"-")</f>
        <v>3.0732592293616121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RVDMECGtlA8dNGqWbP1eOW9PcWmIBza9AFrxmYZG8OLtH8nEcf2PMPpU3DlCJ6sMKxEW0Rgsk8aUBL6HkS9e9g==" saltValue="czTg9BDii797HNyxvA+Jp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ARANJUEZ</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ApOwTK4HjKXk+azJtCUyFicud8zusV+8Mcmd4Es1JAk0sWK1BmT63UBJ2fRnrp+4mv5t7oFknPkPrgs4R5X6wg==" saltValue="NM1CtZDHPt0nxTYsbSpUc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ARANJUEZ</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5</v>
      </c>
      <c r="E10" s="404">
        <f>IF(ISNUMBER(D10/B10),D10/B10," - ")</f>
        <v>5</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236</v>
      </c>
      <c r="E12" s="404">
        <f t="shared" si="0"/>
        <v>59</v>
      </c>
      <c r="F12" s="403">
        <f>IF(ISNUMBER(Datos!N12),Datos!N12," - ")</f>
        <v>1191</v>
      </c>
      <c r="G12" s="404">
        <f t="shared" si="1"/>
        <v>297.75</v>
      </c>
      <c r="H12" s="403">
        <f>IF(ISNUMBER(Datos!O12),Datos!O12," - ")</f>
        <v>322</v>
      </c>
      <c r="I12" s="404">
        <f t="shared" si="2"/>
        <v>80.5</v>
      </c>
      <c r="BZ12" s="1186">
        <f>Datos!EZ12</f>
        <v>0</v>
      </c>
    </row>
    <row r="13" spans="1:78" ht="14.25" thickTop="1" thickBot="1">
      <c r="A13" s="848" t="str">
        <f>Datos!A13</f>
        <v>TOTAL</v>
      </c>
      <c r="B13" s="849">
        <f>Datos!AP13</f>
        <v>4</v>
      </c>
      <c r="C13" s="851">
        <f>Datos!AR13</f>
        <v>4</v>
      </c>
      <c r="D13" s="849">
        <f>SUBTOTAL(9,D9:D12)</f>
        <v>241</v>
      </c>
      <c r="E13" s="850">
        <f t="shared" si="0"/>
        <v>60.25</v>
      </c>
      <c r="F13" s="849">
        <f>SUBTOTAL(9,F9:F12)</f>
        <v>1191</v>
      </c>
      <c r="G13" s="850">
        <f t="shared" si="1"/>
        <v>297.75</v>
      </c>
      <c r="H13" s="849">
        <f>SUBTOTAL(9,H9:H12)</f>
        <v>322</v>
      </c>
      <c r="I13" s="850">
        <f>IF(ISNUMBER(H13/B13),H13/B13," - ")</f>
        <v>80.5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85</v>
      </c>
      <c r="E16" s="404">
        <f t="shared" si="3"/>
        <v>21.25</v>
      </c>
      <c r="F16" s="403">
        <f>IF(ISNUMBER(Datos!N16),Datos!N16," - ")</f>
        <v>1025</v>
      </c>
      <c r="G16" s="404">
        <f t="shared" si="4"/>
        <v>256.25</v>
      </c>
      <c r="H16" s="403">
        <f>IF(ISNUMBER(Datos!O16),Datos!O16," - ")</f>
        <v>5</v>
      </c>
      <c r="I16" s="404">
        <f t="shared" si="5"/>
        <v>1.25</v>
      </c>
      <c r="BZ16" s="1186">
        <f>Datos!EZ16</f>
        <v>0</v>
      </c>
    </row>
    <row r="17" spans="1:78" ht="13.5" thickBot="1">
      <c r="A17" s="402" t="str">
        <f>Datos!A17</f>
        <v>Jdos. Violencia contra la mujer</v>
      </c>
      <c r="B17" s="427">
        <f>Datos!AO17</f>
        <v>1</v>
      </c>
      <c r="C17" s="428">
        <f>Datos!AQ17</f>
        <v>0</v>
      </c>
      <c r="D17" s="403">
        <f>IF(ISNUMBER(Datos!M17),Datos!M17," - ")</f>
        <v>5</v>
      </c>
      <c r="E17" s="404">
        <f>IF(ISNUMBER(D17/B17),D17/B17," - ")</f>
        <v>5</v>
      </c>
      <c r="F17" s="403">
        <f>IF(ISNUMBER(Datos!N17),Datos!N17," - ")</f>
        <v>87</v>
      </c>
      <c r="G17" s="404">
        <f>IF(ISNUMBER(F17/B17),F17/B17," - ")</f>
        <v>87</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90</v>
      </c>
      <c r="E18" s="850">
        <f t="shared" si="3"/>
        <v>22.5</v>
      </c>
      <c r="F18" s="849">
        <f>SUBTOTAL(9,F15:F17)</f>
        <v>1112</v>
      </c>
      <c r="G18" s="850">
        <f t="shared" si="4"/>
        <v>278</v>
      </c>
      <c r="H18" s="849">
        <f>SUBTOTAL(9,H15:H17)</f>
        <v>5</v>
      </c>
      <c r="I18" s="850">
        <f>IF(ISNUMBER(H18/B18),H18/B18," - ")</f>
        <v>1.25</v>
      </c>
      <c r="BZ18" s="1186"/>
    </row>
    <row r="19" spans="1:78" ht="14.25" thickTop="1" thickBot="1">
      <c r="A19" s="793" t="str">
        <f>Datos!A19</f>
        <v>TOTAL JURISDICCIONES</v>
      </c>
      <c r="B19" s="794">
        <f>Datos!AP19</f>
        <v>4</v>
      </c>
      <c r="C19" s="794">
        <f>Datos!AR19</f>
        <v>4</v>
      </c>
      <c r="D19" s="794">
        <f>SUBTOTAL(9,D8:D18)</f>
        <v>331</v>
      </c>
      <c r="E19" s="795">
        <f>IF(ISNUMBER(D19/B19),D19/B19," - ")</f>
        <v>82.75</v>
      </c>
      <c r="F19" s="794">
        <f>SUBTOTAL(9,F8:F18)</f>
        <v>2303</v>
      </c>
      <c r="G19" s="795">
        <f>IF(ISNUMBER(F19/B19),F19/B19," - ")</f>
        <v>575.75</v>
      </c>
      <c r="H19" s="794">
        <f>SUBTOTAL(9,H8:H18)</f>
        <v>327</v>
      </c>
      <c r="I19" s="795">
        <f>IF(ISNUMBER(H19/B19),H19/B19," - ")</f>
        <v>81.75</v>
      </c>
    </row>
    <row r="22" spans="1:78">
      <c r="A22" s="391" t="str">
        <f>Criterios!A4</f>
        <v>Fecha Informe: 03 jun. 2025</v>
      </c>
    </row>
    <row r="27" spans="1:78">
      <c r="A27" s="414"/>
    </row>
  </sheetData>
  <sheetProtection algorithmName="SHA-512" hashValue="iCe6PFbTSFWdP+dzTyb37Rv7KtRFqrSdYnw/CLsqyS75yVKUBFUva8lklE+9Eirv2gYqInLWkAF+tdDQB5g87A==" saltValue="pxYyW3fX9lSaW9lAvEfwy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ARANJUEZ</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7</v>
      </c>
      <c r="C10" s="434">
        <f>IF(ISNUMBER(Datos!Q10),Datos!Q10," - ")</f>
        <v>8</v>
      </c>
      <c r="D10" s="408">
        <f>IF(ISNUMBER(Datos!R10),Datos!R10," - ")</f>
        <v>38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128</v>
      </c>
      <c r="C12" s="434">
        <f>IF(ISNUMBER(Datos!Q12),Datos!Q12," - ")</f>
        <v>137</v>
      </c>
      <c r="D12" s="408">
        <f>IF(ISNUMBER(Datos!R12),Datos!R12," - ")</f>
        <v>3082</v>
      </c>
    </row>
    <row r="13" spans="1:4" ht="14.25" thickTop="1" thickBot="1">
      <c r="A13" s="848" t="str">
        <f>Datos!A13</f>
        <v>TOTAL</v>
      </c>
      <c r="B13" s="849">
        <f>SUBTOTAL(9,B9:B12)</f>
        <v>135</v>
      </c>
      <c r="C13" s="853">
        <f>SUBTOTAL(9,C9:C12)</f>
        <v>145</v>
      </c>
      <c r="D13" s="851">
        <f>SUBTOTAL(9,D9:D12)</f>
        <v>3120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32</v>
      </c>
      <c r="C16" s="434">
        <f>IF(ISNUMBER(Datos!Q16),Datos!Q16," - ")</f>
        <v>48</v>
      </c>
      <c r="D16" s="408">
        <f>IF(ISNUMBER(Datos!R16),Datos!R16," - ")</f>
        <v>128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32</v>
      </c>
      <c r="C18" s="853">
        <f>SUBTOTAL(9,C15:C17)</f>
        <v>48</v>
      </c>
      <c r="D18" s="851">
        <f>SUBTOTAL(9,D15:D17)</f>
        <v>128</v>
      </c>
    </row>
    <row r="19" spans="1:4" ht="16.5" customHeight="1" thickTop="1" thickBot="1">
      <c r="A19" s="793" t="str">
        <f>Datos!A19</f>
        <v>TOTAL JURISDICCIONES</v>
      </c>
      <c r="B19" s="798">
        <f>SUBTOTAL(9,B8:B18)</f>
        <v>167</v>
      </c>
      <c r="C19" s="799">
        <f>SUBTOTAL(9,C8:C18)</f>
        <v>193</v>
      </c>
      <c r="D19" s="800">
        <f>SUBTOTAL(9,D8:D18)</f>
        <v>3248</v>
      </c>
    </row>
    <row r="20" spans="1:4" ht="7.5" customHeight="1"/>
    <row r="21" spans="1:4" ht="6" customHeight="1"/>
    <row r="22" spans="1:4">
      <c r="A22" s="391" t="str">
        <f>Criterios!A4</f>
        <v>Fecha Informe: 03 jun. 2025</v>
      </c>
    </row>
    <row r="27" spans="1:4">
      <c r="A27" s="414"/>
    </row>
  </sheetData>
  <sheetProtection algorithmName="SHA-512" hashValue="TMtj/l80kWTB/ctIErxB7SrhDQdZ1WgmijOx3P05vOtY2O5901asF6x/uL8oFTjiNXUoC70L2kUL8XrfQkFQ2w==" saltValue="4/xbhcGvajlKamCPFQVsh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ARANJUEZ</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0.2413793103448276</v>
      </c>
      <c r="C10" s="456">
        <f>IF(ISNUMBER((Datos!J10-Datos!T10)/Datos!T10),(Datos!J10-Datos!T10)/Datos!T10," - ")</f>
        <v>-0.46153846153846156</v>
      </c>
      <c r="D10" s="456">
        <f>IF(ISNUMBER((Datos!K10-Datos!U10)/Datos!U10),(Datos!K10-Datos!U10)/Datos!U10," - ")</f>
        <v>0.1</v>
      </c>
      <c r="E10" s="456">
        <f>IF(ISNUMBER((Datos!L10-Datos!V10)/Datos!V10),(Datos!L10-Datos!V10)/Datos!V10," - ")</f>
        <v>0</v>
      </c>
      <c r="F10" s="456">
        <f>IF(ISNUMBER((Datos!M10-Datos!W10)/Datos!W10),(Datos!M10-Datos!W10)/Datos!W10," - ")</f>
        <v>-0.2857142857142857</v>
      </c>
      <c r="G10" s="457">
        <f>IF(ISNUMBER((Datos!N10-Datos!X10)/Datos!X10),(Datos!N10-Datos!X10)/Datos!X10," - ")</f>
        <v>-1</v>
      </c>
      <c r="H10" s="455">
        <f>IF(ISNUMBER(((NºAsuntos!G10/NºAsuntos!E10)-Datos!BD10)/Datos!BD10),((NºAsuntos!G10/NºAsuntos!E10)-Datos!BD10)/Datos!BD10," - ")</f>
        <v>1.0428571428571427</v>
      </c>
      <c r="I10" s="456">
        <f>IF(ISNUMBER(((NºAsuntos!I10/NºAsuntos!G10)-Datos!BE10)/Datos!BE10),((NºAsuntos!I10/NºAsuntos!G10)-Datos!BE10)/Datos!BE10," - ")</f>
        <v>-9.0909090909090939E-2</v>
      </c>
      <c r="J10" s="461">
        <f>IF(ISNUMBER((('Resol  Asuntos'!D10/NºAsuntos!G10)-Datos!BF10)/Datos!BF10),(('Resol  Asuntos'!D10/NºAsuntos!G10)-Datos!BF10)/Datos!BF10," - ")</f>
        <v>-0.35064935064935066</v>
      </c>
      <c r="K10" s="462">
        <f>IF(ISNUMBER((((NºAsuntos!C10+NºAsuntos!E10)/NºAsuntos!G10)-Datos!BG10)/Datos!BG10),(((NºAsuntos!C10+NºAsuntos!E10)/NºAsuntos!G10)-Datos!BG10)/Datos!BG10," - ")</f>
        <v>-6.9264069264069278E-2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0.63772876583763494</v>
      </c>
      <c r="C12" s="456">
        <f>IF(ISNUMBER(
   IF(J_V="SI",(Datos!J12-Datos!T12)/Datos!T12,(Datos!J12+Datos!Z12-(Datos!T12+Datos!AH12))/(Datos!T12+Datos!AH12))
     ),IF(J_V="SI",(Datos!J12-Datos!T12)/Datos!T12,(Datos!J12+Datos!Z12-(Datos!T12+Datos!AH12))/(Datos!T12+Datos!AH12))," - ")</f>
        <v>0.67613636363636365</v>
      </c>
      <c r="D12" s="456">
        <f>IF(ISNUMBER(
   IF(J_V="SI",(Datos!K12-Datos!U12)/Datos!U12,(Datos!K12+Datos!AA12-(Datos!U12+Datos!AI12))/(Datos!U12+Datos!AI12))
     ),IF(J_V="SI",(Datos!K12-Datos!U12)/Datos!U12,(Datos!K12+Datos!AA12-(Datos!U12+Datos!AI12))/(Datos!U12+Datos!AI12))," - ")</f>
        <v>0.68655207280080888</v>
      </c>
      <c r="E12" s="456">
        <f>IF(ISNUMBER(
   IF(J_V="SI",(Datos!L12-Datos!V12)/Datos!V12,(Datos!L12+Datos!AB12-(Datos!V12+Datos!AJ12))/(Datos!V12+Datos!AJ12))
     ),IF(J_V="SI",(Datos!L12-Datos!V12)/Datos!V12,(Datos!L12+Datos!AB12-(Datos!V12+Datos!AJ12))/(Datos!V12+Datos!AJ12))," - ")</f>
        <v>0.6333333333333333</v>
      </c>
      <c r="F12" s="456">
        <f>IF(ISNUMBER((Datos!M12-Datos!W12)/Datos!W12),(Datos!M12-Datos!W12)/Datos!W12," - ")</f>
        <v>0.11848341232227488</v>
      </c>
      <c r="G12" s="457">
        <f>IF(ISNUMBER((Datos!N12-Datos!X12)/Datos!X12),(Datos!N12-Datos!X12)/Datos!X12," - ")</f>
        <v>0.80454545454545456</v>
      </c>
      <c r="H12" s="455">
        <f>IF(ISNUMBER(((NºAsuntos!G12/NºAsuntos!E12)-Datos!BD12)/Datos!BD12),((NºAsuntos!G12/NºAsuntos!E12)-Datos!BD12)/Datos!BD12," - ")</f>
        <v>6.2141180099740539E-3</v>
      </c>
      <c r="I12" s="456">
        <f>IF(ISNUMBER(((NºAsuntos!I12/NºAsuntos!G12)-Datos!BE12)/Datos!BE12),((NºAsuntos!I12/NºAsuntos!G12)-Datos!BE12)/Datos!BE12," - ")</f>
        <v>-3.1554756195044054E-2</v>
      </c>
      <c r="J12" s="461">
        <f>IF(ISNUMBER((('Resol  Asuntos'!D12/NºAsuntos!G12)-Datos!BF12)/Datos!BF12),(('Resol  Asuntos'!D12/NºAsuntos!G12)-Datos!BF12)/Datos!BF12," - ")</f>
        <v>-0.78798415812804301</v>
      </c>
      <c r="K12" s="462">
        <f>IF(ISNUMBER((((NºAsuntos!C12+NºAsuntos!E12)/NºAsuntos!G12)-Datos!BG12)/Datos!BG12),(((NºAsuntos!C12+NºAsuntos!E12)/NºAsuntos!G12)-Datos!BG12)/Datos!BG12," - ")</f>
        <v>-2.0605995132529163E-2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0.63240740740740742</v>
      </c>
      <c r="C13" s="855">
        <f>IF(ISNUMBER(
   IF(J_V="SI",(Datos!J13-Datos!T13)/Datos!T13,(Datos!J13+Datos!Z13-(Datos!T13+Datos!AH13))/(Datos!T13+Datos!AH13))
     ),IF(J_V="SI",(Datos!J13-Datos!T13)/Datos!T13,(Datos!J13+Datos!Z13-(Datos!T13+Datos!AH13))/(Datos!T13+Datos!AH13))," - ")</f>
        <v>0.6642570281124498</v>
      </c>
      <c r="D13" s="855">
        <f>IF(ISNUMBER(
   IF(J_V="SI",(Datos!K13-Datos!U13)/Datos!U13,(Datos!K13+Datos!AA13-(Datos!U13+Datos!AI13))/(Datos!U13+Datos!AI13))
     ),IF(J_V="SI",(Datos!K13-Datos!U13)/Datos!U13,(Datos!K13+Datos!AA13-(Datos!U13+Datos!AI13))/(Datos!U13+Datos!AI13))," - ")</f>
        <v>0.68068068068068066</v>
      </c>
      <c r="E13" s="855">
        <f>IF(ISNUMBER(
   IF(J_V="SI",(Datos!L13-Datos!V13)/Datos!V13,(Datos!L13+Datos!AB13-(Datos!V13+Datos!AJ13))/(Datos!V13+Datos!AJ13))
     ),IF(J_V="SI",(Datos!L13-Datos!V13)/Datos!V13,(Datos!L13+Datos!AB13-(Datos!V13+Datos!AJ13))/(Datos!V13+Datos!AJ13))," - ")</f>
        <v>0.62489592006661121</v>
      </c>
      <c r="F13" s="856">
        <f>IF(ISNUMBER((Datos!M13-Datos!W13)/Datos!W13),(Datos!M13-Datos!W13)/Datos!W13," - ")</f>
        <v>0.10550458715596331</v>
      </c>
      <c r="G13" s="857">
        <f>IF(ISNUMBER((Datos!N13-Datos!X13)/Datos!X13),(Datos!N13-Datos!X13)/Datos!X13," - ")</f>
        <v>0.80181543116490162</v>
      </c>
      <c r="H13" s="857">
        <f>IF(ISNUMBER(((NºAsuntos!G13/NºAsuntos!E13)-Datos!BD13)/Datos!BD13),((NºAsuntos!G13/NºAsuntos!E13)-Datos!BD13)/Datos!BD13," - ")</f>
        <v>9.8684591927834606E-3</v>
      </c>
      <c r="I13" s="857">
        <f>IF(ISNUMBER(((NºAsuntos!I13/NºAsuntos!G13)-Datos!BE13)/Datos!BE13),((NºAsuntos!I13/NºAsuntos!G13)-Datos!BE13)/Datos!BE13," - ")</f>
        <v>-3.3191766440414272E-2</v>
      </c>
      <c r="J13" s="857">
        <f>IF(ISNUMBER((('Resol  Asuntos'!D13/NºAsuntos!G13)-Datos!BF13)/Datos!BF13),(('Resol  Asuntos'!D13/NºAsuntos!G13)-Datos!BF13)/Datos!BF13," - ")</f>
        <v>-0.78501606849940131</v>
      </c>
      <c r="K13" s="857">
        <f>IF(ISNUMBER((((NºAsuntos!C13+NºAsuntos!E13)/NºAsuntos!G13)-Datos!BG13)/Datos!BG13),(((NºAsuntos!C13+NºAsuntos!E13)/NºAsuntos!G13)-Datos!BG13)/Datos!BG13," - ")</f>
        <v>-2.1793442184224392E-2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-3.5046728971962616E-3</v>
      </c>
      <c r="C16" s="456">
        <f>IF(ISNUMBER(
   IF(D_I="SI",(Datos!J16-Datos!T16)/Datos!T16,(Datos!J16+Datos!AD16-(Datos!T16+Datos!AL16))/(Datos!T16+Datos!AL16))
     ),IF(D_I="SI",(Datos!J16-Datos!T16)/Datos!T16,(Datos!J16+Datos!AD16-(Datos!T16+Datos!AL16))/(Datos!T16+Datos!AL16))," - ")</f>
        <v>7.5425790754257913E-2</v>
      </c>
      <c r="D16" s="456">
        <f>IF(ISNUMBER(
   IF(D_I="SI",(Datos!K16-Datos!U16)/Datos!U16,(Datos!K16+Datos!AE16-(Datos!U16+Datos!AM16))/(Datos!U16+Datos!AM16))
     ),IF(D_I="SI",(Datos!K16-Datos!U16)/Datos!U16,(Datos!K16+Datos!AE16-(Datos!U16+Datos!AM16))/(Datos!U16+Datos!AM16))," - ")</f>
        <v>6.7526555386949919E-2</v>
      </c>
      <c r="E16" s="456">
        <f>IF(ISNUMBER(
   IF(D_I="SI",(Datos!L16-Datos!V16)/Datos!V16,(Datos!L16+Datos!AF16-(Datos!V16+Datos!AN16))/(Datos!V16+Datos!AN16))
     ),IF(D_I="SI",(Datos!L16-Datos!V16)/Datos!V16,(Datos!L16+Datos!AF16-(Datos!V16+Datos!AN16))/(Datos!V16+Datos!AN16))," - ")</f>
        <v>2.423469387755102E-2</v>
      </c>
      <c r="F16" s="456">
        <f>IF(ISNUMBER((Datos!M16-Datos!W16)/Datos!W16),(Datos!M16-Datos!W16)/Datos!W16," - ")</f>
        <v>-0.15841584158415842</v>
      </c>
      <c r="G16" s="457">
        <f>IF(ISNUMBER((Datos!N16-Datos!X16)/Datos!X16),(Datos!N16-Datos!X16)/Datos!X16," - ")</f>
        <v>0.1388888888888889</v>
      </c>
      <c r="H16" s="455">
        <f>IF(ISNUMBER(((NºAsuntos!G16/NºAsuntos!E16)-Datos!BD16)/Datos!BD16),((NºAsuntos!G16/NºAsuntos!E16)-Datos!BD16)/Datos!BD16," - ")</f>
        <v>-7.3452165972026241E-3</v>
      </c>
      <c r="I16" s="456">
        <f>IF(ISNUMBER(((NºAsuntos!I16/NºAsuntos!G16)-Datos!BE16)/Datos!BE16),((NºAsuntos!I16/NºAsuntos!G16)-Datos!BE16)/Datos!BE16," - ")</f>
        <v>-4.055342819430547E-2</v>
      </c>
      <c r="J16" s="461">
        <f>IF(ISNUMBER((('Resol  Asuntos'!D16/NºAsuntos!G16)-Datos!BF16)/Datos!BF16),(('Resol  Asuntos'!D16/NºAsuntos!G16)-Datos!BF16)/Datos!BF16," - ")</f>
        <v>-0.21165037612503251</v>
      </c>
      <c r="K16" s="462">
        <f>IF(ISNUMBER((((NºAsuntos!C16+NºAsuntos!E16)/NºAsuntos!G16)-Datos!BG16)/Datos!BG16),(((NºAsuntos!C16+NºAsuntos!E16)/NºAsuntos!G16)-Datos!BG16)/Datos!BG16," - ")</f>
        <v>-2.2897548093492731E-2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0.33333333333333331</v>
      </c>
      <c r="C17" s="456">
        <f>IF(ISNUMBER(
   IF(D_I="SI",(Datos!J17-Datos!T17)/Datos!T17,(Datos!J17+Datos!AD17-(Datos!T17+Datos!AL17))/(Datos!T17+Datos!AL17))
     ),IF(D_I="SI",(Datos!J17-Datos!T17)/Datos!T17,(Datos!J17+Datos!AD17-(Datos!T17+Datos!AL17))/(Datos!T17+Datos!AL17))," - ")</f>
        <v>-0.14285714285714285</v>
      </c>
      <c r="D17" s="456">
        <f>IF(ISNUMBER(
   IF(D_I="SI",(Datos!K17-Datos!U17)/Datos!U17,(Datos!K17+Datos!AE17-(Datos!U17+Datos!AM17))/(Datos!U17+Datos!AM17))
     ),IF(D_I="SI",(Datos!K17-Datos!U17)/Datos!U17,(Datos!K17+Datos!AE17-(Datos!U17+Datos!AM17))/(Datos!U17+Datos!AM17))," - ")</f>
        <v>-4.6153846153846156E-2</v>
      </c>
      <c r="E17" s="456">
        <f>IF(ISNUMBER(
   IF(D_I="SI",(Datos!L17-Datos!V17)/Datos!V17,(Datos!L17+Datos!AF17-(Datos!V17+Datos!AN17))/(Datos!V17+Datos!AN17))
     ),IF(D_I="SI",(Datos!L17-Datos!V17)/Datos!V17,(Datos!L17+Datos!AF17-(Datos!V17+Datos!AN17))/(Datos!V17+Datos!AN17))," - ")</f>
        <v>0.14705882352941177</v>
      </c>
      <c r="F17" s="456">
        <f>IF(ISNUMBER((Datos!M17-Datos!W17)/Datos!W17),(Datos!M17-Datos!W17)/Datos!W17," - ")</f>
        <v>-0.2857142857142857</v>
      </c>
      <c r="G17" s="457">
        <f>IF(ISNUMBER((Datos!N17-Datos!X17)/Datos!X17),(Datos!N17-Datos!X17)/Datos!X17," - ")</f>
        <v>-0.19444444444444445</v>
      </c>
      <c r="H17" s="455">
        <f>IF(ISNUMBER(((NºAsuntos!G17/NºAsuntos!E17)-Datos!BD17)/Datos!BD17),((NºAsuntos!G17/NºAsuntos!E17)-Datos!BD17)/Datos!BD17," - ")</f>
        <v>0.11282051282051284</v>
      </c>
      <c r="I17" s="456">
        <f>IF(ISNUMBER(((NºAsuntos!I17/NºAsuntos!G17)-Datos!BE17)/Datos!BE17),((NºAsuntos!I17/NºAsuntos!G17)-Datos!BE17)/Datos!BE17," - ")</f>
        <v>0.20256166982922194</v>
      </c>
      <c r="J17" s="461">
        <f>IF(ISNUMBER((('Resol  Asuntos'!D17/NºAsuntos!G17)-Datos!BF17)/Datos!BF17),(('Resol  Asuntos'!D17/NºAsuntos!G17)-Datos!BF17)/Datos!BF17," - ")</f>
        <v>-0.25115207373271897</v>
      </c>
      <c r="K17" s="462">
        <f>IF(ISNUMBER((((NºAsuntos!C17+NºAsuntos!E17)/NºAsuntos!G17)-Datos!BG17)/Datos!BG17),(((NºAsuntos!C17+NºAsuntos!E17)/NºAsuntos!G17)-Datos!BG17)/Datos!BG17," - ")</f>
        <v>3.5601888276947283E-2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1.3318534961154272E-2</v>
      </c>
      <c r="C18" s="855">
        <f>IF(ISNUMBER(
   IF(Criterios!B14="SI",(Datos!J18-Datos!T18)/Datos!T18,(Datos!J18+Datos!AD18-(Datos!T18+Datos!AL18))/(Datos!T18+Datos!AL18))
     ),IF(Criterios!B14="SI",(Datos!J18-Datos!T18)/Datos!T18,(Datos!J18+Datos!AD18-(Datos!T18+Datos!AL18))/(Datos!T18+Datos!AL18))," - ")</f>
        <v>5.6213017751479293E-2</v>
      </c>
      <c r="D18" s="855">
        <f>IF(ISNUMBER(
   IF(Criterios!B14="SI",(Datos!K18-Datos!U18)/Datos!U18,(Datos!K18+Datos!AE18-(Datos!U18+Datos!AM18))/(Datos!U18+Datos!AM18))
     ),IF(Criterios!B14="SI",(Datos!K18-Datos!U18)/Datos!U18,(Datos!K18+Datos!AE18-(Datos!U18+Datos!AM18))/(Datos!U18+Datos!AM18))," - ")</f>
        <v>5.7320441988950276E-2</v>
      </c>
      <c r="E18" s="855">
        <f>IF(ISNUMBER(
   IF(Criterios!B14="SI",(Datos!L18-Datos!V18)/Datos!V18,(Datos!L18+Datos!AF18-(Datos!V18+Datos!AN18))/(Datos!V18+Datos!AN18))
     ),IF(Criterios!B14="SI",(Datos!L18-Datos!V18)/Datos!V18,(Datos!L18+Datos!AF18-(Datos!V18+Datos!AN18))/(Datos!V18+Datos!AN18))," - ")</f>
        <v>2.9339853300733496E-2</v>
      </c>
      <c r="F18" s="856">
        <f>IF(ISNUMBER((Datos!M18-Datos!W18)/Datos!W18),(Datos!M18-Datos!W18)/Datos!W18," - ")</f>
        <v>-0.16666666666666666</v>
      </c>
      <c r="G18" s="857">
        <f>IF(ISNUMBER((Datos!N18-Datos!X18)/Datos!X18),(Datos!N18-Datos!X18)/Datos!X18," - ")</f>
        <v>0.10317460317460317</v>
      </c>
      <c r="H18" s="857">
        <f>IF(ISNUMBER(((NºAsuntos!G18/NºAsuntos!E18)-Datos!BD18)/Datos!BD18),((NºAsuntos!G18/NºAsuntos!E18)-Datos!BD18)/Datos!BD18," - ")</f>
        <v>1.0484856926196336E-3</v>
      </c>
      <c r="I18" s="857">
        <f>IF(ISNUMBER(((NºAsuntos!I18/NºAsuntos!G18)-Datos!BE18)/Datos!BE18),((NºAsuntos!I18/NºAsuntos!G18)-Datos!BE18)/Datos!BE18," - ")</f>
        <v>-2.6463678916092633E-2</v>
      </c>
      <c r="J18" s="857">
        <f>IF(ISNUMBER((('Resol  Asuntos'!D18/NºAsuntos!G18)-Datos!BF18)/Datos!BF18),(('Resol  Asuntos'!D18/NºAsuntos!G18)-Datos!BF18)/Datos!BF18," - ")</f>
        <v>-0.21184411060309172</v>
      </c>
      <c r="K18" s="857">
        <f>IF(ISNUMBER((((NºAsuntos!C18+NºAsuntos!E18)/NºAsuntos!G18)-Datos!BG18)/Datos!BG18),(((NºAsuntos!C18+NºAsuntos!E18)/NºAsuntos!G18)-Datos!BG18)/Datos!BG18," - ")</f>
        <v>-1.7271405018288933E-2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0.45017967984318852</v>
      </c>
      <c r="C19" s="802">
        <f>IF(ISNUMBER(
   IF(J_V="SI",(Datos!J19-Datos!T19)/Datos!T19,(Datos!J19+Datos!Z19-(Datos!T19+Datos!AH19))/(Datos!T19+Datos!AH19))
     ),IF(J_V="SI",(Datos!J19-Datos!T19)/Datos!T19,(Datos!J19+Datos!Z19-(Datos!T19+Datos!AH19))/(Datos!T19+Datos!AH19))," - ")</f>
        <v>0.34770889487870621</v>
      </c>
      <c r="D19" s="802">
        <f>IF(ISNUMBER(
   IF(J_V="SI",(Datos!K19-Datos!U19)/Datos!U19,(Datos!K19+Datos!AA19-(Datos!U19+Datos!AI19))/(Datos!U19+Datos!AI19))
     ),IF(J_V="SI",(Datos!K19-Datos!U19)/Datos!U19,(Datos!K19+Datos!AA19-(Datos!U19+Datos!AI19))/(Datos!U19+Datos!AI19))," - ")</f>
        <v>0.3118103800572129</v>
      </c>
      <c r="E19" s="802">
        <f>IF(ISNUMBER(
   IF(J_V="SI",(Datos!L19-Datos!V19)/Datos!V19,(Datos!L19+Datos!AB19-(Datos!V19+Datos!AJ19))/(Datos!V19+Datos!AJ19))
     ),IF(J_V="SI",(Datos!L19-Datos!V19)/Datos!V19,(Datos!L19+Datos!AB19-(Datos!V19+Datos!AJ19))/(Datos!V19+Datos!AJ19))," - ")</f>
        <v>0.47360248447204967</v>
      </c>
      <c r="F19" s="803">
        <f>IF(ISNUMBER((Datos!M19-Datos!W19)/Datos!W19),(Datos!M19-Datos!W19)/Datos!W19," - ")</f>
        <v>1.5337423312883436E-2</v>
      </c>
      <c r="G19" s="804">
        <f>IF(ISNUMBER((Datos!N19-Datos!X19)/Datos!X19),(Datos!N19-Datos!X19)/Datos!X19," - ")</f>
        <v>0.37986818454164173</v>
      </c>
      <c r="H19" s="805">
        <f>IF(ISNUMBER((Tasas!B19-Datos!BD19)/Datos!BD19),(Tasas!B19-Datos!BD19)/Datos!BD19," - ")</f>
        <v>-2.6636697997548003E-2</v>
      </c>
      <c r="I19" s="806">
        <f>IF(ISNUMBER((Tasas!C19-Datos!BE19)/Datos!BE19),(Tasas!C19-Datos!BE19)/Datos!BE19," - ")</f>
        <v>0.12333497803835076</v>
      </c>
      <c r="J19" s="807">
        <f>IF(ISNUMBER((Tasas!D19-Datos!BF19)/Datos!BF19),(Tasas!D19-Datos!BF19)/Datos!BF19," - ")</f>
        <v>-0.67442186714903019</v>
      </c>
      <c r="K19" s="807">
        <f>IF(ISNUMBER((Tasas!E19-Datos!BG19)/Datos!BG19),(Tasas!E19-Datos!BG19)/Datos!BG19," - ")</f>
        <v>6.9625617629601816E-2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E9OtqOPQzMD22r9zFuk7bdbGLdSEt39y3/6LIfPlJ1DwfpNqRol5uOG9g2jHfzmqVz0T4JVdfMakNrHU/Pk/Q==" saltValue="BOTlH2sYQxgRJVqwsvnw3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ARANJUEZ</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1.5714285714285714</v>
      </c>
      <c r="C10" s="443">
        <f>IF(ISNUMBER(NºAsuntos!I10/NºAsuntos!G10),NºAsuntos!I10/NºAsuntos!G10," - ")</f>
        <v>2.9090909090909092</v>
      </c>
      <c r="D10" s="444">
        <f>IF(ISNUMBER('Resol  Asuntos'!D10/NºAsuntos!G10),'Resol  Asuntos'!D10/NºAsuntos!G10," - ")</f>
        <v>0.45454545454545453</v>
      </c>
      <c r="E10" s="445">
        <f>IF(ISNUMBER((NºAsuntos!C10+NºAsuntos!E10)/NºAsuntos!G10),(NºAsuntos!C10+NºAsuntos!E10)/NºAsuntos!G10," - ")</f>
        <v>3.9090909090909092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0.80774818401937043</v>
      </c>
      <c r="C12" s="443">
        <f>IF(ISNUMBER(NºAsuntos!I12/NºAsuntos!G12),NºAsuntos!I12/NºAsuntos!G12," - ")</f>
        <v>2.3207434052757794</v>
      </c>
      <c r="D12" s="444">
        <f>IF(ISNUMBER('Resol  Asuntos'!D12/NºAsuntos!G12),'Resol  Asuntos'!D12/NºAsuntos!G12," - ")</f>
        <v>0.14148681055155876</v>
      </c>
      <c r="E12" s="445">
        <f>IF(ISNUMBER((NºAsuntos!C12+NºAsuntos!E12)/NºAsuntos!G12),(NºAsuntos!C12+NºAsuntos!E12)/NºAsuntos!G12," - ")</f>
        <v>3.3303357314148681</v>
      </c>
      <c r="G12" s="463"/>
    </row>
    <row r="13" spans="1:7" ht="14.25" thickTop="1" thickBot="1">
      <c r="A13" s="848" t="str">
        <f>Datos!A13</f>
        <v>TOTAL</v>
      </c>
      <c r="B13" s="858">
        <f>IF(ISNUMBER(NºAsuntos!G13/NºAsuntos!E13),NºAsuntos!G13/NºAsuntos!E13," - ")</f>
        <v>0.81032818532818529</v>
      </c>
      <c r="C13" s="859">
        <f>IF(ISNUMBER(NºAsuntos!I13/NºAsuntos!G13),NºAsuntos!I13/NºAsuntos!G13," - ")</f>
        <v>2.3245979749851102</v>
      </c>
      <c r="D13" s="860">
        <f>IF(ISNUMBER('Resol  Asuntos'!D13/NºAsuntos!G13),'Resol  Asuntos'!D13/NºAsuntos!G13," - ")</f>
        <v>0.14353782013103036</v>
      </c>
      <c r="E13" s="861">
        <f>IF(ISNUMBER((NºAsuntos!C13+NºAsuntos!E13)/NºAsuntos!G13),(NºAsuntos!C13+NºAsuntos!E13)/NºAsuntos!G13," - ")</f>
        <v>3.3341274568195356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1.0610859728506787</v>
      </c>
      <c r="C16" s="443">
        <f>IF(ISNUMBER(NºAsuntos!I16/NºAsuntos!G16),NºAsuntos!I16/NºAsuntos!G16," - ")</f>
        <v>0.57071783937455578</v>
      </c>
      <c r="D16" s="444">
        <f>IF(ISNUMBER('Resol  Asuntos'!D16/NºAsuntos!G16),'Resol  Asuntos'!D16/NºAsuntos!G16," - ")</f>
        <v>6.041222459132907E-2</v>
      </c>
      <c r="E16" s="445">
        <f>IF(ISNUMBER((NºAsuntos!C16+NºAsuntos!E16)/NºAsuntos!G16),(NºAsuntos!C16+NºAsuntos!E16)/NºAsuntos!G16," - ")</f>
        <v>1.548685145700071</v>
      </c>
      <c r="G16" s="463"/>
    </row>
    <row r="17" spans="1:7" ht="13.5" thickBot="1">
      <c r="A17" s="402" t="str">
        <f>Datos!A17</f>
        <v>Jdos. Violencia contra la mujer</v>
      </c>
      <c r="B17" s="442">
        <f>IF(ISNUMBER(NºAsuntos!G17/NºAsuntos!E17),NºAsuntos!G17/NºAsuntos!E17," - ")</f>
        <v>1.2156862745098038</v>
      </c>
      <c r="C17" s="443">
        <f>IF(ISNUMBER(NºAsuntos!I17/NºAsuntos!G17),NºAsuntos!I17/NºAsuntos!G17," - ")</f>
        <v>0.31451612903225806</v>
      </c>
      <c r="D17" s="444">
        <f>IF(ISNUMBER('Resol  Asuntos'!D17/NºAsuntos!G17),'Resol  Asuntos'!D17/NºAsuntos!G17," - ")</f>
        <v>4.0322580645161289E-2</v>
      </c>
      <c r="E17" s="445">
        <f>IF(ISNUMBER((NºAsuntos!C17+NºAsuntos!E17)/NºAsuntos!G17),(NºAsuntos!C17+NºAsuntos!E17)/NºAsuntos!G17," - ")</f>
        <v>1.3064516129032258</v>
      </c>
      <c r="G17" s="463"/>
    </row>
    <row r="18" spans="1:7" ht="14.25" thickTop="1" thickBot="1">
      <c r="A18" s="848" t="str">
        <f>Datos!A18</f>
        <v>TOTAL</v>
      </c>
      <c r="B18" s="858">
        <f>IF(ISNUMBER(NºAsuntos!G18/NºAsuntos!E18),NºAsuntos!G18/NºAsuntos!E18," - ")</f>
        <v>1.0721288515406162</v>
      </c>
      <c r="C18" s="859">
        <f>IF(ISNUMBER(NºAsuntos!I18/NºAsuntos!G18),NºAsuntos!I18/NºAsuntos!G18," - ")</f>
        <v>0.54996734160679295</v>
      </c>
      <c r="D18" s="862">
        <f>IF(ISNUMBER('Resol  Asuntos'!D18/NºAsuntos!G18),'Resol  Asuntos'!D18/NºAsuntos!G18," - ")</f>
        <v>5.8785107772697583E-2</v>
      </c>
      <c r="E18" s="861">
        <f>IF(ISNUMBER((NºAsuntos!C18+NºAsuntos!E18)/NºAsuntos!G18),(NºAsuntos!C18+NºAsuntos!E18)/NºAsuntos!G18," - ")</f>
        <v>1.5290659699542783</v>
      </c>
      <c r="G18" s="463"/>
    </row>
    <row r="19" spans="1:7" ht="15.75" customHeight="1" thickTop="1" thickBot="1">
      <c r="A19" s="793" t="str">
        <f>Datos!A19</f>
        <v>TOTAL JURISDICCIONES</v>
      </c>
      <c r="B19" s="808">
        <f>IF(ISNUMBER(NºAsuntos!G19/NºAsuntos!E19),NºAsuntos!G19/NºAsuntos!E19," - ")</f>
        <v>0.91714285714285715</v>
      </c>
      <c r="C19" s="809">
        <f>IF(ISNUMBER(NºAsuntos!I19/NºAsuntos!G19),NºAsuntos!I19/NºAsuntos!G19," - ")</f>
        <v>1.4781931464174456</v>
      </c>
      <c r="D19" s="810">
        <f>IF(ISNUMBER('Resol  Asuntos'!D19/NºAsuntos!G19),'Resol  Asuntos'!D19/NºAsuntos!G19," - ")</f>
        <v>0.10311526479750779</v>
      </c>
      <c r="E19" s="811">
        <f>IF(ISNUMBER((NºAsuntos!C19+NºAsuntos!E19)/NºAsuntos!G19),(NºAsuntos!C19+NºAsuntos!E19)/NºAsuntos!G19," - ")</f>
        <v>2.473208722741433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EdFNTI/XMrBoQ2+DAGpv8KZfAbw8ed9FtnyyqLxel1FWNNvtTpPsRa4nEu7UMN2ycWqIalDJ0ezHbG+6qELpoA==" saltValue="PiSGTLBahJztIH7HVdLka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ARANJUEZ</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36</v>
      </c>
      <c r="G10" s="333">
        <f>IF(ISNUMBER(Datos!I10),Datos!I10," - ")</f>
        <v>36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7</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11</v>
      </c>
      <c r="X10" s="226">
        <f>IF(ISNUMBER(Datos!Q10),Datos!Q10," - ")</f>
        <v>8</v>
      </c>
      <c r="Y10" s="334">
        <f t="shared" ref="Y10:Y12" si="0">SUM(W10:X10)</f>
        <v>19</v>
      </c>
      <c r="Z10" s="335" t="str">
        <f>IF(ISNUMBER(Datos!CC10),Datos!CC10," - ")</f>
        <v xml:space="preserve"> - </v>
      </c>
      <c r="AA10" s="332">
        <f>IF(ISNUMBER(Datos!L10),Datos!L10,"-")</f>
        <v>32</v>
      </c>
      <c r="AB10" s="334">
        <f>IF(ISNUMBER(Datos!R10),Datos!R10," - ")</f>
        <v>38</v>
      </c>
      <c r="AC10" s="334">
        <f t="shared" ref="AC10:AC12" si="1">IF(ISNUMBER(AA10+AB10),AA10+AB10," - ")</f>
        <v>70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v>
      </c>
      <c r="AJ10" s="231" t="str">
        <f>IF(ISNUMBER(Datos!BW10),Datos!BW10," - ")</f>
        <v xml:space="preserve"> - </v>
      </c>
      <c r="AK10" s="232" t="str">
        <f>IF(ISNUMBER(Datos!BX10),Datos!BX10," - ")</f>
        <v xml:space="preserve"> - </v>
      </c>
      <c r="AL10" s="243">
        <f>IF(ISNUMBER(NºAsuntos!G10/NºAsuntos!E10),NºAsuntos!G10/NºAsuntos!E10," - ")</f>
        <v>1.5714285714285714</v>
      </c>
      <c r="AM10" s="260">
        <f>IF(ISNUMBER(((NºAsuntos!I10/NºAsuntos!G10)*11)/factor_trimestre),((NºAsuntos!I10/NºAsuntos!G10)*11)/factor_trimestre," - ")</f>
        <v>8.7272727272727284</v>
      </c>
      <c r="AN10" s="244">
        <f>IF(ISNUMBER('Resol  Asuntos'!D10/NºAsuntos!G10),'Resol  Asuntos'!D10/NºAsuntos!G10," - ")</f>
        <v>0.45454545454545453</v>
      </c>
      <c r="AO10" s="245">
        <f>IF(ISNUMBER((NºAsuntos!C10+NºAsuntos!E10)/NºAsuntos!G10),(NºAsuntos!C10+NºAsuntos!E10)/NºAsuntos!G10," - ")</f>
        <v>3.9090909090909092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128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137</v>
      </c>
      <c r="Y12" s="334">
        <f t="shared" si="0"/>
        <v>137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3082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236</v>
      </c>
      <c r="AJ12" s="229" t="str">
        <f>IF(ISNUMBER(Datos!BW12),Datos!BW12," - ")</f>
        <v xml:space="preserve"> - </v>
      </c>
      <c r="AK12" s="228" t="str">
        <f>IF(ISNUMBER(Datos!BX12),Datos!BX12," - ")</f>
        <v xml:space="preserve"> - </v>
      </c>
      <c r="AL12" s="243">
        <f>IF(ISNUMBER(NºAsuntos!G12/NºAsuntos!E12),NºAsuntos!G12/NºAsuntos!E12," - ")</f>
        <v>0.80774818401937043</v>
      </c>
      <c r="AM12" s="260">
        <f>IF(ISNUMBER(((NºAsuntos!I12/NºAsuntos!G12)*11)/factor_trimestre),((NºAsuntos!I12/NºAsuntos!G12)*11)/factor_trimestre," - ")</f>
        <v>6.962230215827339</v>
      </c>
      <c r="AN12" s="244">
        <f>IF(ISNUMBER('Resol  Asuntos'!D12/NºAsuntos!G12),'Resol  Asuntos'!D12/NºAsuntos!G12," - ")</f>
        <v>0.14148681055155876</v>
      </c>
      <c r="AO12" s="245">
        <f>IF(ISNUMBER((NºAsuntos!C12+NºAsuntos!E12)/NºAsuntos!G12),(NºAsuntos!C12+NºAsuntos!E12)/NºAsuntos!G12," - ")</f>
        <v>3.3303357314148681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36</v>
      </c>
      <c r="G13" s="866">
        <f t="shared" si="3"/>
        <v>36</v>
      </c>
      <c r="H13" s="865">
        <f t="shared" si="3"/>
        <v>0</v>
      </c>
      <c r="I13" s="867">
        <f t="shared" si="3"/>
        <v>0</v>
      </c>
      <c r="J13" s="867">
        <f t="shared" si="3"/>
        <v>0</v>
      </c>
      <c r="K13" s="867">
        <f t="shared" si="3"/>
        <v>0</v>
      </c>
      <c r="L13" s="867">
        <f t="shared" si="3"/>
        <v>135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11</v>
      </c>
      <c r="X13" s="867">
        <f t="shared" si="4"/>
        <v>145</v>
      </c>
      <c r="Y13" s="868">
        <f t="shared" si="4"/>
        <v>156</v>
      </c>
      <c r="Z13" s="868">
        <f t="shared" si="4"/>
        <v>0</v>
      </c>
      <c r="AA13" s="868">
        <f t="shared" si="4"/>
        <v>32</v>
      </c>
      <c r="AB13" s="868">
        <f t="shared" si="4"/>
        <v>3120</v>
      </c>
      <c r="AC13" s="868">
        <f t="shared" si="4"/>
        <v>70</v>
      </c>
      <c r="AD13" s="868">
        <f t="shared" si="4"/>
        <v>0</v>
      </c>
      <c r="AE13" s="872">
        <f t="shared" si="4"/>
        <v>0</v>
      </c>
      <c r="AF13" s="865">
        <f t="shared" si="4"/>
        <v>0</v>
      </c>
      <c r="AG13" s="873">
        <f t="shared" si="4"/>
        <v>0</v>
      </c>
      <c r="AH13" s="870">
        <f t="shared" si="4"/>
        <v>0</v>
      </c>
      <c r="AI13" s="865">
        <f t="shared" si="4"/>
        <v>241</v>
      </c>
      <c r="AJ13" s="867">
        <f t="shared" si="4"/>
        <v>0</v>
      </c>
      <c r="AK13" s="870">
        <f>SUBTOTAL(9,AK9:AK12)</f>
        <v>0</v>
      </c>
      <c r="AL13" s="874">
        <f>IF(ISNUMBER(NºAsuntos!G13/NºAsuntos!E13),NºAsuntos!G13/NºAsuntos!E13," - ")</f>
        <v>0.81032818532818529</v>
      </c>
      <c r="AM13" s="874">
        <f>IF(ISNUMBER(((NºAsuntos!I13/NºAsuntos!G13)*11)/factor_trimestre),((NºAsuntos!I13/NºAsuntos!G13)*11)/factor_trimestre," - ")</f>
        <v>6.9737939249553307</v>
      </c>
      <c r="AN13" s="875">
        <f>IF(ISNUMBER('Resol  Asuntos'!D13/NºAsuntos!G13),'Resol  Asuntos'!D13/NºAsuntos!G13," - ")</f>
        <v>0.14353782013103036</v>
      </c>
      <c r="AO13" s="876">
        <f>IF(ISNUMBER((NºAsuntos!C13+NºAsuntos!E13)/NºAsuntos!G13),(NºAsuntos!C13+NºAsuntos!E13)/NºAsuntos!G13," - ")</f>
        <v>3.3341274568195356</v>
      </c>
      <c r="AP13" s="877" t="str">
        <f t="shared" si="2"/>
        <v xml:space="preserve"> - </v>
      </c>
      <c r="AQ13" s="877">
        <f>IF(ISNUMBER((H13-W13+K13)/(F13)),(H13-W13+K13)/(F13)," - ")</f>
        <v>-0.30555555555555558</v>
      </c>
      <c r="AR13" s="878">
        <f>IF(ISNUMBER((Datos!P13-Datos!Q13)/(Datos!R13-Datos!P13+Datos!Q13)),(Datos!P13-Datos!Q13)/(Datos!R13-Datos!P13+Datos!Q13)," - ")</f>
        <v>-3.1948881789137379E-3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884</v>
      </c>
      <c r="G16" s="333">
        <f>IF(ISNUMBER(IF(D_I="SI",Datos!I16,Datos!I16+Datos!AC16)),IF(D_I="SI",Datos!I16,Datos!I16+Datos!AC16)," - ")</f>
        <v>853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1407</v>
      </c>
      <c r="X16" s="226">
        <f>IF(ISNUMBER(Datos!Q16),Datos!Q16," - ")</f>
        <v>48</v>
      </c>
      <c r="Y16" s="334">
        <f t="shared" ref="Y16:Y17" si="7">SUM(W16:X16)</f>
        <v>1455</v>
      </c>
      <c r="Z16" s="335" t="str">
        <f>IF(ISNUMBER(Datos!CC16),Datos!CC16," - ")</f>
        <v xml:space="preserve"> - </v>
      </c>
      <c r="AA16" s="332">
        <f>IF(ISNUMBER(IF(D_I="SI",Datos!L16,Datos!L16+Datos!AF16)),IF(D_I="SI",Datos!L16,Datos!L16+Datos!AF16)," - ")</f>
        <v>803</v>
      </c>
      <c r="AB16" s="334">
        <f>IF(ISNUMBER(Datos!R16),Datos!R16," - ")</f>
        <v>128</v>
      </c>
      <c r="AC16" s="334">
        <f t="shared" si="6"/>
        <v>931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85</v>
      </c>
      <c r="AJ16" s="231" t="str">
        <f>IF(ISNUMBER(Datos!BW16),Datos!BW16," - ")</f>
        <v xml:space="preserve"> - </v>
      </c>
      <c r="AK16" s="232" t="str">
        <f>IF(ISNUMBER(Datos!BX16),Datos!BX16," - ")</f>
        <v xml:space="preserve"> - </v>
      </c>
      <c r="AL16" s="243">
        <f>IF(ISNUMBER(NºAsuntos!G16/NºAsuntos!E16),NºAsuntos!G16/NºAsuntos!E16," - ")</f>
        <v>1.0610859728506787</v>
      </c>
      <c r="AM16" s="260">
        <f>IF(ISNUMBER(((NºAsuntos!I16/NºAsuntos!G16)*11)/factor_trimestre),((NºAsuntos!I16/NºAsuntos!G16)*11)/factor_trimestre," - ")</f>
        <v>1.7121535181236673</v>
      </c>
      <c r="AN16" s="244">
        <f>IF(ISNUMBER('Resol  Asuntos'!D16/NºAsuntos!G16),'Resol  Asuntos'!D16/NºAsuntos!G16," - ")</f>
        <v>6.041222459132907E-2</v>
      </c>
      <c r="AO16" s="245">
        <f>IF(ISNUMBER((NºAsuntos!C16+NºAsuntos!E16)/NºAsuntos!G16),(NºAsuntos!C16+NºAsuntos!E16)/NºAsuntos!G16," - ")</f>
        <v>1.548685145700071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124</v>
      </c>
      <c r="X17" s="226">
        <f>IF(ISNUMBER(Datos!Q17),Datos!Q17," - ")</f>
        <v>0</v>
      </c>
      <c r="Y17" s="334">
        <f t="shared" si="7"/>
        <v>124</v>
      </c>
      <c r="Z17" s="335" t="str">
        <f>IF(ISNUMBER(Datos!CC17),Datos!CC17," - ")</f>
        <v xml:space="preserve"> - </v>
      </c>
      <c r="AA17" s="332">
        <f>IF(ISNUMBER(Datos!L17),Datos!L17,"-")</f>
        <v>39</v>
      </c>
      <c r="AB17" s="334">
        <f>IF(ISNUMBER(Datos!R17),Datos!R17," - ")</f>
        <v>0</v>
      </c>
      <c r="AC17" s="334">
        <f t="shared" si="6"/>
        <v>39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v>
      </c>
      <c r="AJ17" s="231" t="str">
        <f>IF(ISNUMBER(Datos!BW17),Datos!BW17," - ")</f>
        <v xml:space="preserve"> - </v>
      </c>
      <c r="AK17" s="232" t="str">
        <f>IF(ISNUMBER(Datos!BX17),Datos!BX17," - ")</f>
        <v xml:space="preserve"> - </v>
      </c>
      <c r="AL17" s="243">
        <f>IF(ISNUMBER(NºAsuntos!G17/NºAsuntos!E17),NºAsuntos!G17/NºAsuntos!E17," - ")</f>
        <v>1.2156862745098038</v>
      </c>
      <c r="AM17" s="260">
        <f>IF(ISNUMBER(((NºAsuntos!I17/NºAsuntos!G17)*11)/factor_trimestre),((NºAsuntos!I17/NºAsuntos!G17)*11)/factor_trimestre," - ")</f>
        <v>0.94354838709677413</v>
      </c>
      <c r="AN17" s="244">
        <f>IF(ISNUMBER('Resol  Asuntos'!D17/NºAsuntos!G17),'Resol  Asuntos'!D17/NºAsuntos!G17," - ")</f>
        <v>4.0322580645161289E-2</v>
      </c>
      <c r="AO17" s="245">
        <f>IF(ISNUMBER((NºAsuntos!C17+NºAsuntos!E17)/NºAsuntos!G17),(NºAsuntos!C17+NºAsuntos!E17)/NºAsuntos!G17," - ")</f>
        <v>1.3064516129032258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884</v>
      </c>
      <c r="G18" s="866">
        <f>SUBTOTAL(9,G15:G17)</f>
        <v>913</v>
      </c>
      <c r="H18" s="865">
        <f t="shared" ref="H18:O18" si="10">SUBTOTAL(9,H14:H17)</f>
        <v>0</v>
      </c>
      <c r="I18" s="867">
        <f t="shared" si="10"/>
        <v>0</v>
      </c>
      <c r="J18" s="867">
        <f t="shared" si="10"/>
        <v>0</v>
      </c>
      <c r="K18" s="867">
        <f t="shared" si="10"/>
        <v>0</v>
      </c>
      <c r="L18" s="867">
        <f t="shared" si="10"/>
        <v>32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1531</v>
      </c>
      <c r="X18" s="867">
        <f t="shared" si="11"/>
        <v>48</v>
      </c>
      <c r="Y18" s="868">
        <f t="shared" si="11"/>
        <v>1579</v>
      </c>
      <c r="Z18" s="868">
        <f t="shared" si="11"/>
        <v>0</v>
      </c>
      <c r="AA18" s="868">
        <f t="shared" si="11"/>
        <v>842</v>
      </c>
      <c r="AB18" s="868">
        <f t="shared" si="11"/>
        <v>128</v>
      </c>
      <c r="AC18" s="868">
        <f t="shared" si="11"/>
        <v>970</v>
      </c>
      <c r="AD18" s="868">
        <f t="shared" si="11"/>
        <v>0</v>
      </c>
      <c r="AE18" s="872">
        <f t="shared" si="11"/>
        <v>0</v>
      </c>
      <c r="AF18" s="865">
        <f t="shared" si="11"/>
        <v>0</v>
      </c>
      <c r="AG18" s="873">
        <f t="shared" si="11"/>
        <v>0</v>
      </c>
      <c r="AH18" s="870">
        <f t="shared" si="11"/>
        <v>0</v>
      </c>
      <c r="AI18" s="865">
        <f t="shared" si="11"/>
        <v>90</v>
      </c>
      <c r="AJ18" s="867">
        <f t="shared" si="11"/>
        <v>0</v>
      </c>
      <c r="AK18" s="870">
        <f t="shared" si="11"/>
        <v>0</v>
      </c>
      <c r="AL18" s="874">
        <f>IF(ISNUMBER(NºAsuntos!G18/NºAsuntos!E18),NºAsuntos!G18/NºAsuntos!E18," - ")</f>
        <v>1.0721288515406162</v>
      </c>
      <c r="AM18" s="874">
        <f>IF(ISNUMBER(((NºAsuntos!I18/NºAsuntos!G18)*11)/factor_trimestre),((NºAsuntos!I18/NºAsuntos!G18)*11)/factor_trimestre," - ")</f>
        <v>1.6499020248203788</v>
      </c>
      <c r="AN18" s="875">
        <f>IF(ISNUMBER('Resol  Asuntos'!D18/NºAsuntos!G18),'Resol  Asuntos'!D18/NºAsuntos!G18," - ")</f>
        <v>5.8785107772697583E-2</v>
      </c>
      <c r="AO18" s="876">
        <f>IF(ISNUMBER((NºAsuntos!C18+NºAsuntos!E18)/NºAsuntos!G18),(NºAsuntos!C18+NºAsuntos!E18)/NºAsuntos!G18," - ")</f>
        <v>1.5290659699542783</v>
      </c>
      <c r="AP18" s="877" t="str">
        <f t="shared" si="2"/>
        <v xml:space="preserve"> - </v>
      </c>
      <c r="AQ18" s="877">
        <f>IF(ISNUMBER((H18-W18+K18)/(F18)),(H18-W18+K18)/(F18)," - ")</f>
        <v>-1.7319004524886878</v>
      </c>
      <c r="AR18" s="878">
        <f>IF(ISNUMBER((Datos!P18-Datos!Q18)/(Datos!R18-Datos!P18+Datos!Q18)),(Datos!P18-Datos!Q18)/(Datos!R18-Datos!P18+Datos!Q18)," - ")</f>
        <v>-0.1111111111111111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920</v>
      </c>
      <c r="G19" s="821">
        <f t="shared" si="13"/>
        <v>949</v>
      </c>
      <c r="H19" s="820">
        <f t="shared" si="13"/>
        <v>0</v>
      </c>
      <c r="I19" s="822">
        <f t="shared" si="13"/>
        <v>0</v>
      </c>
      <c r="J19" s="822">
        <f t="shared" si="13"/>
        <v>0</v>
      </c>
      <c r="K19" s="881">
        <f t="shared" si="13"/>
        <v>0</v>
      </c>
      <c r="L19" s="822">
        <f t="shared" si="13"/>
        <v>167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1542</v>
      </c>
      <c r="X19" s="821">
        <f t="shared" si="14"/>
        <v>193</v>
      </c>
      <c r="Y19" s="828">
        <f t="shared" si="14"/>
        <v>1735</v>
      </c>
      <c r="Z19" s="828">
        <f t="shared" si="14"/>
        <v>0</v>
      </c>
      <c r="AA19" s="828">
        <f t="shared" si="14"/>
        <v>874</v>
      </c>
      <c r="AB19" s="828">
        <f t="shared" si="14"/>
        <v>3248</v>
      </c>
      <c r="AC19" s="828">
        <f t="shared" si="14"/>
        <v>1040</v>
      </c>
      <c r="AD19" s="828">
        <f t="shared" si="14"/>
        <v>0</v>
      </c>
      <c r="AE19" s="830">
        <f t="shared" si="14"/>
        <v>0</v>
      </c>
      <c r="AF19" s="831">
        <f t="shared" si="14"/>
        <v>0</v>
      </c>
      <c r="AG19" s="832">
        <f t="shared" si="14"/>
        <v>0</v>
      </c>
      <c r="AH19" s="830">
        <f t="shared" si="14"/>
        <v>0</v>
      </c>
      <c r="AI19" s="820">
        <f t="shared" si="14"/>
        <v>331</v>
      </c>
      <c r="AJ19" s="820">
        <f t="shared" si="14"/>
        <v>0</v>
      </c>
      <c r="AK19" s="830">
        <f t="shared" si="14"/>
        <v>0</v>
      </c>
      <c r="AL19" s="884">
        <f>IF(ISNUMBER(NºAsuntos!G19/NºAsuntos!E19),NºAsuntos!G19/NºAsuntos!E19," - ")</f>
        <v>0.91714285714285715</v>
      </c>
      <c r="AM19" s="885">
        <f>IF(ISNUMBER(((NºAsuntos!I19/NºAsuntos!G19)*11)/factor_trimestre),((NºAsuntos!I19/NºAsuntos!G19)*11)/factor_trimestre," - ")</f>
        <v>4.434579439252337</v>
      </c>
      <c r="AN19" s="885">
        <f>IF(ISNUMBER('Resol  Asuntos'!D19/NºAsuntos!G19),'Resol  Asuntos'!D19/NºAsuntos!G19," - ")</f>
        <v>0.10311526479750779</v>
      </c>
      <c r="AO19" s="886">
        <f>IF(ISNUMBER((NºAsuntos!C19+NºAsuntos!E19)/NºAsuntos!G19),(NºAsuntos!C19+NºAsuntos!E19)/NºAsuntos!G19," - ")</f>
        <v>2.473208722741433</v>
      </c>
      <c r="AP19" s="887" t="str">
        <f t="shared" si="2"/>
        <v xml:space="preserve"> - </v>
      </c>
      <c r="AQ19" s="888">
        <f>IF(OR(ISNUMBER(FIND("01",Criterios!A8,1)),ISNUMBER(FIND("02",Criterios!A8,1)),ISNUMBER(FIND("03",Criterios!A8,1)),ISNUMBER(FIND("04",Criterios!A8,1))),(I19-W19+K19)/(F19-K19),(H19-W19+K19)/(F19-K19))</f>
        <v>-1.6760869565217391</v>
      </c>
      <c r="AR19" s="889">
        <f>IF(ISNUMBER((Datos!P19-Datos!Q19)/(Datos!R19-Datos!P19+Datos!Q19)),(Datos!P19-Datos!Q19)/(Datos!R19-Datos!P19+Datos!Q19)," - ")</f>
        <v>-7.9413561392791699E-3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379.6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489.59302827280266</v>
      </c>
      <c r="G21" s="253">
        <f>IF(ISNUMBER(STDEV(G8:G18)),STDEV(G8:G18),"-")</f>
        <v>460.13291557983547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780.54737204092874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105.93520031918884</v>
      </c>
      <c r="AJ21" s="252">
        <f t="shared" si="18"/>
        <v>0</v>
      </c>
      <c r="AK21" s="254">
        <f t="shared" si="18"/>
        <v>0</v>
      </c>
      <c r="AL21" s="249">
        <f t="shared" si="18"/>
        <v>0.28516938685481669</v>
      </c>
      <c r="AM21" s="250">
        <f t="shared" si="18"/>
        <v>3.4233142445818459</v>
      </c>
      <c r="AN21" s="250">
        <f t="shared" si="18"/>
        <v>0.1557159544898275</v>
      </c>
      <c r="AO21" s="251">
        <f t="shared" si="18"/>
        <v>1.1526262544231511</v>
      </c>
      <c r="AP21" s="291" t="str">
        <f t="shared" si="18"/>
        <v>-</v>
      </c>
      <c r="AQ21" s="292">
        <f t="shared" si="18"/>
        <v>1.0085781489322454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2/uFAD7sC69v9T+n+zPqUE4MuHJjf5vcNtf+U5j7+UxThfn2RVbHC3IkVeiBxfxyjiXR87ALB8O/ERzx6A1pNA==" saltValue="Hi/ccC/8cPa+9gw7QgKOa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ARANJUEZ</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0.2413793103448276</v>
      </c>
      <c r="E10" s="348">
        <f>IF(ISNUMBER((Datos!J10-Datos!T10)/Datos!T10),(Datos!J10-Datos!T10)/Datos!T10," - ")</f>
        <v>-0.46153846153846156</v>
      </c>
      <c r="F10" s="348">
        <f>IF(ISNUMBER((Datos!K10-Datos!U10)/Datos!U10),(Datos!K10-Datos!U10)/Datos!U10," - ")</f>
        <v>0.1</v>
      </c>
      <c r="G10" s="349">
        <f>IF(ISNUMBER((Datos!L10-Datos!V10)/Datos!V10),(Datos!L10-Datos!V10)/Datos!V10," - ")</f>
        <v>0</v>
      </c>
      <c r="H10" s="230">
        <f>IF(ISNUMBER((Datos!M10-Datos!W10)/Datos!W10),(Datos!M10-Datos!W10)/Datos!W10," - ")</f>
        <v>-0.2857142857142857</v>
      </c>
      <c r="I10" s="350">
        <f>IF(ISNUMBER((Tasas!C10-Datos!BE10)/Datos!BE10),(Tasas!C10-Datos!BE10)/Datos!BE10," - ")</f>
        <v>-9.0909090909090939E-2</v>
      </c>
      <c r="J10" s="349">
        <f>IF(ISNUMBER((Tasas!D10-Datos!BF10)/Datos!BF10),(Tasas!D10-Datos!BF10)/Datos!BF10," - ")</f>
        <v>-0.35064935064935066</v>
      </c>
      <c r="K10" s="351">
        <f>IF(ISNUMBER((Tasas!E10-Datos!BG10)/Datos!BG10),(Tasas!E10-Datos!BG10)/Datos!BG10," - ")</f>
        <v>-6.9264069264069278E-2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0.11848341232227488</v>
      </c>
      <c r="I12" s="350">
        <f>IF(ISNUMBER((Tasas!C12-Datos!BE12)/Datos!BE12),(Tasas!C12-Datos!BE12)/Datos!BE12," - ")</f>
        <v>-3.1554756195044054E-2</v>
      </c>
      <c r="J12" s="349">
        <f>IF(ISNUMBER((Tasas!D12-Datos!BF12)/Datos!BF12),(Tasas!D12-Datos!BF12)/Datos!BF12," - ")</f>
        <v>-0.78798415812804301</v>
      </c>
      <c r="K12" s="351">
        <f>IF(ISNUMBER((Tasas!E12-Datos!BG12)/Datos!BG12),(Tasas!E12-Datos!BG12)/Datos!BG12," - ")</f>
        <v>-2.0605995132529163E-2</v>
      </c>
      <c r="M12" t="e">
        <f>IF(Monitorios="SI",Datos!CE12,0)</f>
        <v>#REF!</v>
      </c>
      <c r="N12" t="e">
        <f>IF(Monitorios="SI",Datos!CF12,0)</f>
        <v>#REF!</v>
      </c>
      <c r="O12" t="e">
        <f>IF(Monitorios="SI",Datos!CG12,0)</f>
        <v>#REF!</v>
      </c>
      <c r="P12" t="e">
        <f>IF(Monitorios="SI",Datos!CH12,0)</f>
        <v>#REF!</v>
      </c>
      <c r="Q12">
        <f>IF(J_V="SI",0,Datos!AG12)</f>
        <v>74</v>
      </c>
      <c r="R12">
        <f>IF(J_V="SI",0,Datos!AH12)</f>
        <v>66</v>
      </c>
      <c r="S12">
        <f>IF(J_V="SI",0,Datos!AI12)</f>
        <v>56</v>
      </c>
      <c r="T12">
        <f>IF(J_V="SI",0,Datos!AJ12)</f>
        <v>84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0.10550458715596331</v>
      </c>
      <c r="I13" s="357">
        <f>IF(ISNUMBER((Tasas!C13-Datos!BE13)/Datos!BE13),(Tasas!C13-Datos!BE13)/Datos!BE13," - ")</f>
        <v>-3.3191766440414272E-2</v>
      </c>
      <c r="J13" s="355">
        <f>IF(ISNUMBER((Tasas!D13-Datos!BF13)/Datos!BF13),(Tasas!D13-Datos!BF13)/Datos!BF13," - ")</f>
        <v>-0.78501606849940131</v>
      </c>
      <c r="K13" s="358">
        <f>IF(ISNUMBER((Tasas!E13-Datos!BG13)/Datos!BG13),(Tasas!E13-Datos!BG13)/Datos!BG13," - ")</f>
        <v>-2.1793442184224392E-2</v>
      </c>
      <c r="M13" t="e">
        <f>IF(Monitorios="SI",Datos!CE13,0)</f>
        <v>#REF!</v>
      </c>
      <c r="N13" t="e">
        <f>IF(Monitorios="SI",Datos!CF13,0)</f>
        <v>#REF!</v>
      </c>
      <c r="O13" t="e">
        <f>IF(Monitorios="SI",Datos!CG13,0)</f>
        <v>#REF!</v>
      </c>
      <c r="P13" t="e">
        <f>IF(Monitorios="SI",Datos!CH13,0)</f>
        <v>#REF!</v>
      </c>
      <c r="Q13">
        <f>IF(J_V="SI",0,Datos!AG13)</f>
        <v>74</v>
      </c>
      <c r="R13">
        <f>IF(J_V="SI",0,Datos!AH13)</f>
        <v>66</v>
      </c>
      <c r="S13">
        <f>IF(J_V="SI",0,Datos!AI13)</f>
        <v>56</v>
      </c>
      <c r="T13">
        <f>IF(J_V="SI",0,Datos!AJ13)</f>
        <v>84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-3.5046728971962616E-3</v>
      </c>
      <c r="E16" s="348">
        <f>IF(ISNUMBER(
   IF(D_I="SI",(Datos!J16-Datos!T16)/Datos!T16,(Datos!J16+Datos!AD16-(Datos!T16+Datos!AL16))/(Datos!T16+Datos!AL16))
     ),IF(D_I="SI",(Datos!J16-Datos!T16)/Datos!T16,(Datos!J16+Datos!AD16-(Datos!T16+Datos!AL16))/(Datos!T16+Datos!AL16))," - ")</f>
        <v>7.5425790754257913E-2</v>
      </c>
      <c r="F16" s="348">
        <f>IF(ISNUMBER(
   IF(D_I="SI",(Datos!K16-Datos!U16)/Datos!U16,(Datos!K16+Datos!AE16-(Datos!U16+Datos!AM16))/(Datos!U16+Datos!AM16))
     ),IF(D_I="SI",(Datos!K16-Datos!U16)/Datos!U16,(Datos!K16+Datos!AE16-(Datos!U16+Datos!AM16))/(Datos!U16+Datos!AM16))," - ")</f>
        <v>6.7526555386949919E-2</v>
      </c>
      <c r="G16" s="349">
        <f>IF(ISNUMBER(
   IF(D_I="SI",(Datos!L16-Datos!V16)/Datos!V16,(Datos!L16+Datos!AF16-(Datos!V16+Datos!AN16))/(Datos!V16+Datos!AN16))
     ),IF(D_I="SI",(Datos!L16-Datos!V16)/Datos!V16,(Datos!L16+Datos!AF16-(Datos!V16+Datos!AN16))/(Datos!V16+Datos!AN16))," - ")</f>
        <v>2.423469387755102E-2</v>
      </c>
      <c r="H16" s="230">
        <f>IF(ISNUMBER((Datos!M16-Datos!W16)/Datos!W16),(Datos!M16-Datos!W16)/Datos!W16," - ")</f>
        <v>-0.15841584158415842</v>
      </c>
      <c r="I16" s="350">
        <f>IF(ISNUMBER((Tasas!C16-Datos!BE16)/Datos!BE16),(Tasas!C16-Datos!BE16)/Datos!BE16," - ")</f>
        <v>-4.055342819430547E-2</v>
      </c>
      <c r="J16" s="349">
        <f>IF(ISNUMBER((Tasas!D16-Datos!BF16)/Datos!BF16),(Tasas!D16-Datos!BF16)/Datos!BF16," - ")</f>
        <v>-0.21165037612503251</v>
      </c>
      <c r="K16" s="351">
        <f>IF(ISNUMBER((Tasas!E16-Datos!BG16)/Datos!BG16),(Tasas!E16-Datos!BG16)/Datos!BG16," - ")</f>
        <v>-2.2897548093492731E-2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0.33333333333333331</v>
      </c>
      <c r="E17" s="348">
        <f>IF(ISNUMBER(
   IF(D_I="SI",(Datos!J17-Datos!T17)/Datos!T17,(Datos!J17+Datos!AD17-(Datos!T17+Datos!AL17))/(Datos!T17+Datos!AL17))
     ),IF(D_I="SI",(Datos!J17-Datos!T17)/Datos!T17,(Datos!J17+Datos!AD17-(Datos!T17+Datos!AL17))/(Datos!T17+Datos!AL17))," - ")</f>
        <v>-0.14285714285714285</v>
      </c>
      <c r="F17" s="348">
        <f>IF(ISNUMBER(
   IF(D_I="SI",(Datos!K17-Datos!U17)/Datos!U17,(Datos!K17+Datos!AE17-(Datos!U17+Datos!AM17))/(Datos!U17+Datos!AM17))
     ),IF(D_I="SI",(Datos!K17-Datos!U17)/Datos!U17,(Datos!K17+Datos!AE17-(Datos!U17+Datos!AM17))/(Datos!U17+Datos!AM17))," - ")</f>
        <v>-4.6153846153846156E-2</v>
      </c>
      <c r="G17" s="349">
        <f>IF(ISNUMBER(
   IF(D_I="SI",(Datos!L17-Datos!V17)/Datos!V17,(Datos!L17+Datos!AF17-(Datos!V17+Datos!AN17))/(Datos!V17+Datos!AN17))
     ),IF(D_I="SI",(Datos!L17-Datos!V17)/Datos!V17,(Datos!L17+Datos!AF17-(Datos!V17+Datos!AN17))/(Datos!V17+Datos!AN17))," - ")</f>
        <v>0.14705882352941177</v>
      </c>
      <c r="H17" s="230">
        <f>IF(ISNUMBER((Datos!M17-Datos!W17)/Datos!W17),(Datos!M17-Datos!W17)/Datos!W17," - ")</f>
        <v>-0.2857142857142857</v>
      </c>
      <c r="I17" s="350">
        <f>IF(ISNUMBER((Tasas!C17-Datos!BE17)/Datos!BE17),(Tasas!C17-Datos!BE17)/Datos!BE17," - ")</f>
        <v>0.20256166982922194</v>
      </c>
      <c r="J17" s="349">
        <f>IF(ISNUMBER((Tasas!D17-Datos!BF17)/Datos!BF17),(Tasas!D17-Datos!BF17)/Datos!BF17," - ")</f>
        <v>-0.25115207373271897</v>
      </c>
      <c r="K17" s="351">
        <f>IF(ISNUMBER((Tasas!E17-Datos!BG17)/Datos!BG17),(Tasas!E17-Datos!BG17)/Datos!BG17," - ")</f>
        <v>3.5601888276947283E-2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1.3318534961154272E-2</v>
      </c>
      <c r="E18" s="354">
        <f>IF(ISNUMBER(
   IF(D_I="SI",(Datos!J18-Datos!T18)/Datos!T18,(Datos!J18+Datos!AD18-(Datos!T18+Datos!AL18))/(Datos!T18+Datos!AL18))
     ),IF(D_I="SI",(Datos!J18-Datos!T18)/Datos!T18,(Datos!J18+Datos!AD18-(Datos!T18+Datos!AL18))/(Datos!T18+Datos!AL18))," - ")</f>
        <v>5.6213017751479293E-2</v>
      </c>
      <c r="F18" s="354">
        <f>IF(ISNUMBER(
   IF(D_I="SI",(Datos!K18-Datos!U18)/Datos!U18,(Datos!K18+Datos!AE18-(Datos!U18+Datos!AM18))/(Datos!U18+Datos!AM18))
     ),IF(D_I="SI",(Datos!K18-Datos!U18)/Datos!U18,(Datos!K18+Datos!AE18-(Datos!U18+Datos!AM18))/(Datos!U18+Datos!AM18))," - ")</f>
        <v>5.7320441988950276E-2</v>
      </c>
      <c r="G18" s="355">
        <f>IF(ISNUMBER(
   IF(D_I="SI",(Datos!L18-Datos!V18)/Datos!V18,(Datos!L18+Datos!AF18-(Datos!V18+Datos!AN18))/(Datos!V18+Datos!AN18))
     ),IF(D_I="SI",(Datos!L18-Datos!V18)/Datos!V18,(Datos!L18+Datos!AF18-(Datos!V18+Datos!AN18))/(Datos!V18+Datos!AN18))," - ")</f>
        <v>2.9339853300733496E-2</v>
      </c>
      <c r="H18" s="356">
        <f>IF(ISNUMBER((Datos!M18-Datos!W18)/Datos!W18),(Datos!M18-Datos!W18)/Datos!W18," - ")</f>
        <v>-0.16666666666666666</v>
      </c>
      <c r="I18" s="357">
        <f>IF(ISNUMBER((Tasas!C18-Datos!BE18)/Datos!BE18),(Tasas!C18-Datos!BE18)/Datos!BE18," - ")</f>
        <v>-2.6463678916092633E-2</v>
      </c>
      <c r="J18" s="355">
        <f>IF(ISNUMBER((Tasas!D18-Datos!BF18)/Datos!BF18),(Tasas!D18-Datos!BF18)/Datos!BF18," - ")</f>
        <v>-0.21184411060309172</v>
      </c>
      <c r="K18" s="358">
        <f>IF(ISNUMBER((Tasas!E18-Datos!BG18)/Datos!BG18),(Tasas!E18-Datos!BG18)/Datos!BG18," - ")</f>
        <v>-1.7271405018288933E-2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0.45017967984318852</v>
      </c>
      <c r="E19" s="363">
        <f>IF(ISNUMBER(
   IF(J_V="SI",(Datos!J19-Datos!T19)/Datos!T19,(Datos!J19+Datos!Z19-(Datos!T19+Datos!AH19))/(Datos!T19+Datos!AH19))
     ),IF(J_V="SI",(Datos!J19-Datos!T19)/Datos!T19,(Datos!J19+Datos!Z19-(Datos!T19+Datos!AH19))/(Datos!T19+Datos!AH19))," - ")</f>
        <v>0.34770889487870621</v>
      </c>
      <c r="F19" s="363">
        <f>IF(ISNUMBER(
   IF(J_V="SI",(Datos!K19-Datos!U19)/Datos!U19,(Datos!K19+Datos!AA19-(Datos!U19+Datos!AI19))/(Datos!U19+Datos!AI19))
     ),IF(J_V="SI",(Datos!K19-Datos!U19)/Datos!U19,(Datos!K19+Datos!AA19-(Datos!U19+Datos!AI19))/(Datos!U19+Datos!AI19))," - ")</f>
        <v>0.3118103800572129</v>
      </c>
      <c r="G19" s="364">
        <f>IF(ISNUMBER(
   IF(J_V="SI",(Datos!L19-Datos!V19)/Datos!V19,(Datos!L19+Datos!AB19-(Datos!V19+Datos!AJ19))/(Datos!V19+Datos!AJ19))
     ),IF(J_V="SI",(Datos!L19-Datos!V19)/Datos!V19,(Datos!L19+Datos!AB19-(Datos!V19+Datos!AJ19))/(Datos!V19+Datos!AJ19))," - ")</f>
        <v>0.47360248447204967</v>
      </c>
      <c r="H19" s="365">
        <f>IF(ISNUMBER((Datos!M19-Datos!W19)/Datos!W19),(Datos!M19-Datos!W19)/Datos!W19," - ")</f>
        <v>1.5337423312883436E-2</v>
      </c>
      <c r="I19" s="362">
        <f>IF(ISNUMBER((Tasas!C19-Datos!BE19)/Datos!BE19),(Tasas!C19-Datos!BE19)/Datos!BE19," - ")</f>
        <v>0.12333497803835076</v>
      </c>
      <c r="J19" s="363">
        <f>IF(ISNUMBER((Tasas!D19-Datos!BF19)/Datos!BF19),(Tasas!D19-Datos!BF19)/Datos!BF19," - ")</f>
        <v>-0.67442186714903019</v>
      </c>
      <c r="K19" s="364">
        <f>IF(ISNUMBER((Tasas!E19-Datos!BG19)/Datos!BG19),(Tasas!E19-Datos!BG19)/Datos!BG19," - ")</f>
        <v>6.9625617629601816E-2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0.16747829680340739</v>
      </c>
      <c r="E21" s="278">
        <f t="shared" si="1"/>
        <v>0.24926566885234175</v>
      </c>
      <c r="F21" s="278">
        <f t="shared" si="1"/>
        <v>6.3226670779588365E-2</v>
      </c>
      <c r="G21" s="279">
        <f t="shared" si="1"/>
        <v>6.5855922529207328E-2</v>
      </c>
      <c r="H21" s="285">
        <f t="shared" si="1"/>
        <v>0.18216859449659015</v>
      </c>
      <c r="I21" s="277">
        <f t="shared" si="1"/>
        <v>0.10360558543928283</v>
      </c>
      <c r="J21" s="278">
        <f t="shared" si="1"/>
        <v>0.27845463958357819</v>
      </c>
      <c r="K21" s="279">
        <f t="shared" si="1"/>
        <v>3.3273337921742065E-2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9V8o5ezsuxzZPqp65zgKvl9YyxyxnNrMGqHse4nr8aFrBNhx8QKf801L3nRztIU2kqN6lPw3INguvKF8ob9/aA==" saltValue="rKtyzkaMnJ3/mipXtzvs6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2025-06-03T21:58:12Z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